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0" windowWidth="12120" windowHeight="8280" tabRatio="908" activeTab="0"/>
  </bookViews>
  <sheets>
    <sheet name="First-Page" sheetId="1" r:id="rId1"/>
    <sheet name="content" sheetId="2" r:id="rId2"/>
    <sheet name="Sheet1" sheetId="3" r:id="rId3"/>
    <sheet name="AT-1-Gen_Info " sheetId="4" r:id="rId4"/>
    <sheet name="AT-2-S1 BUDGET"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sheetId="25" r:id="rId25"/>
    <sheet name="AT-8A_Hon_CCH_UPry" sheetId="26" r:id="rId26"/>
    <sheet name="AT9_TA" sheetId="27" r:id="rId27"/>
    <sheet name="AT10_MME" sheetId="28" r:id="rId28"/>
    <sheet name="AT-10A" sheetId="29" r:id="rId29"/>
    <sheet name="AT-10B" sheetId="30" r:id="rId30"/>
    <sheet name="AT- 10C" sheetId="31" r:id="rId31"/>
    <sheet name="AT-10D" sheetId="32" r:id="rId32"/>
    <sheet name="AT-10E" sheetId="33" r:id="rId33"/>
    <sheet name="AT-10 F " sheetId="34" r:id="rId34"/>
    <sheet name="AT11_KS Year wise" sheetId="35" r:id="rId35"/>
    <sheet name="AT11A_KS-District wise" sheetId="36" r:id="rId36"/>
    <sheet name="AT12_KD-New" sheetId="37" r:id="rId37"/>
    <sheet name="AT12A_KD-Replacement" sheetId="38" r:id="rId38"/>
    <sheet name="AT-13" sheetId="39" r:id="rId39"/>
    <sheet name="AT-14" sheetId="40" r:id="rId40"/>
    <sheet name="AT-14A" sheetId="41" r:id="rId41"/>
    <sheet name="AT-15" sheetId="42" r:id="rId42"/>
    <sheet name="AT-16" sheetId="43" r:id="rId43"/>
    <sheet name="AT_17_Coverage-RBSK " sheetId="44" r:id="rId44"/>
    <sheet name="AT18_Details_Community " sheetId="45" r:id="rId45"/>
    <sheet name="AT_19_Impl_Agency" sheetId="46" r:id="rId46"/>
    <sheet name="AT_20_SchoolCookingagency " sheetId="47" r:id="rId47"/>
    <sheet name="AT-21" sheetId="48" r:id="rId48"/>
    <sheet name="AT-22" sheetId="49" r:id="rId49"/>
    <sheet name="AT-23" sheetId="50" r:id="rId50"/>
    <sheet name="AT 23A" sheetId="51" r:id="rId51"/>
    <sheet name="AT-24" sheetId="52" r:id="rId52"/>
    <sheet name="AT-25" sheetId="53" r:id="rId53"/>
    <sheet name="Sheet2" sheetId="54" r:id="rId54"/>
    <sheet name="AT26_NoWD" sheetId="55" r:id="rId55"/>
    <sheet name="AT26A_NoWD" sheetId="56" r:id="rId56"/>
    <sheet name="AT27_Req_FG_CA_Pry" sheetId="57" r:id="rId57"/>
    <sheet name="AT27A_Req_FG_CA_UPry " sheetId="58" r:id="rId58"/>
    <sheet name="AT27B_Req_FG_CA_NCLP" sheetId="59" r:id="rId59"/>
    <sheet name="AT27C_Req_FG_CA_Drought-Pry" sheetId="60" r:id="rId60"/>
    <sheet name="AT27D_Req_FG_CA_Drought-UPry" sheetId="61" r:id="rId61"/>
    <sheet name="AT_28_RqmtKitchen" sheetId="62" r:id="rId62"/>
    <sheet name="AT-28A_RqmtPlinthArea" sheetId="63" r:id="rId63"/>
    <sheet name="AT-28B_Kitchen repair" sheetId="64" r:id="rId64"/>
    <sheet name="AT29_K_D" sheetId="65" r:id="rId65"/>
    <sheet name="AT29_A_Replacement KD" sheetId="66" r:id="rId66"/>
    <sheet name="AT-30_Coook-cum-Helper" sheetId="67" r:id="rId67"/>
    <sheet name="AT_31_Budget_provision" sheetId="68" r:id="rId68"/>
    <sheet name="AT32_Drought Pry Util" sheetId="69" r:id="rId69"/>
    <sheet name="AT32A_Drought U.Pry Util " sheetId="70" r:id="rId70"/>
  </sheets>
  <definedNames>
    <definedName name="_xlnm.Print_Area" localSheetId="30">'AT- 10C'!$A$1:$J$24</definedName>
    <definedName name="_xlnm.Print_Area" localSheetId="43">'AT_17_Coverage-RBSK '!$A$1:$L$27</definedName>
    <definedName name="_xlnm.Print_Area" localSheetId="45">'AT_19_Impl_Agency'!$A$1:$J$33</definedName>
    <definedName name="_xlnm.Print_Area" localSheetId="46">'AT_20_SchoolCookingagency '!$A$1:$M$28</definedName>
    <definedName name="_xlnm.Print_Area" localSheetId="61">'AT_28_RqmtKitchen'!$A$1:$S$25</definedName>
    <definedName name="_xlnm.Print_Area" localSheetId="5">'AT_2A_fundflow'!$A$1:$W$35</definedName>
    <definedName name="_xlnm.Print_Area" localSheetId="67">'AT_31_Budget_provision'!$A$1:$X$36</definedName>
    <definedName name="_xlnm.Print_Area" localSheetId="27">'AT10_MME'!$A$1:$H$32</definedName>
    <definedName name="_xlnm.Print_Area" localSheetId="29">'AT-10B'!$A$1:$I$31</definedName>
    <definedName name="_xlnm.Print_Area" localSheetId="34">'AT11_KS Year wise'!$A$1:$K$36</definedName>
    <definedName name="_xlnm.Print_Area" localSheetId="35">'AT11A_KS-District wise'!$A$1:$K$28</definedName>
    <definedName name="_xlnm.Print_Area" localSheetId="36">'AT12_KD-New'!$A$1:$K$29</definedName>
    <definedName name="_xlnm.Print_Area" localSheetId="37">'AT12A_KD-Replacement'!$A$1:$K$29</definedName>
    <definedName name="_xlnm.Print_Area" localSheetId="38">'AT-13'!$A$1:$H$25</definedName>
    <definedName name="_xlnm.Print_Area" localSheetId="39">'AT-14'!$A$1:$N$25</definedName>
    <definedName name="_xlnm.Print_Area" localSheetId="41">'AT-15'!$A$1:$L$24</definedName>
    <definedName name="_xlnm.Print_Area" localSheetId="44">'AT18_Details_Community '!$A$1:$F$28</definedName>
    <definedName name="_xlnm.Print_Area" localSheetId="3">'AT-1-Gen_Info '!$A$1:$T$48</definedName>
    <definedName name="_xlnm.Print_Area" localSheetId="47">'AT-21'!$A$1:$L$26</definedName>
    <definedName name="_xlnm.Print_Area" localSheetId="51">'AT-24'!$A$1:$M$29</definedName>
    <definedName name="_xlnm.Print_Area" localSheetId="54">'AT26_NoWD'!$A$1:$L$34</definedName>
    <definedName name="_xlnm.Print_Area" localSheetId="55">'AT26A_NoWD'!$A$1:$K$34</definedName>
    <definedName name="_xlnm.Print_Area" localSheetId="56">'AT27_Req_FG_CA_Pry'!$A$1:$T$28</definedName>
    <definedName name="_xlnm.Print_Area" localSheetId="57">'AT27A_Req_FG_CA_UPry '!$A$1:$T$28</definedName>
    <definedName name="_xlnm.Print_Area" localSheetId="58">'AT27B_Req_FG_CA_NCLP'!$A$1:$R$28</definedName>
    <definedName name="_xlnm.Print_Area" localSheetId="59">'AT27C_Req_FG_CA_Drought-Pry'!$A$1:$R$28</definedName>
    <definedName name="_xlnm.Print_Area" localSheetId="60">'AT27D_Req_FG_CA_Drought-UPry'!$A$1:$R$28</definedName>
    <definedName name="_xlnm.Print_Area" localSheetId="62">'AT-28A_RqmtPlinthArea'!$A$1:$S$26</definedName>
    <definedName name="_xlnm.Print_Area" localSheetId="64">'AT29_K_D'!$A$1:$V$29</definedName>
    <definedName name="_xlnm.Print_Area" localSheetId="4">'AT-2-S1 BUDGET'!$A$1:$V$36</definedName>
    <definedName name="_xlnm.Print_Area" localSheetId="66">'AT-30_Coook-cum-Helper'!$A$1:$L$28</definedName>
    <definedName name="_xlnm.Print_Area" localSheetId="7">'AT3A_cvrg(Insti)_PY'!$A$1:$N$31</definedName>
    <definedName name="_xlnm.Print_Area" localSheetId="8">'AT3B_cvrg(Insti)_UPY '!$A$1:$N$31</definedName>
    <definedName name="_xlnm.Print_Area" localSheetId="9">'AT3C_cvrg(Insti)_UPY '!$A$1:$N$31</definedName>
    <definedName name="_xlnm.Print_Area" localSheetId="24">'AT-8_Hon_CCH_Pry'!$A$1:$V$29</definedName>
    <definedName name="_xlnm.Print_Area" localSheetId="25">'AT-8A_Hon_CCH_UPry'!$A$1:$V$29</definedName>
    <definedName name="_xlnm.Print_Area" localSheetId="26">'AT9_TA'!$A$1:$I$27</definedName>
    <definedName name="_xlnm.Print_Area" localSheetId="1">'content'!$A$1:$D$73</definedName>
    <definedName name="_xlnm.Print_Area" localSheetId="10">'enrolment vs availed_PY'!$A$1:$Q$29</definedName>
    <definedName name="_xlnm.Print_Area" localSheetId="11">'enrolment vs availed_UPY'!$A$1:$Q$30</definedName>
    <definedName name="_xlnm.Print_Area" localSheetId="13">'T5_PLAN_vs_PRFM'!$A$1:$J$27</definedName>
    <definedName name="_xlnm.Print_Area" localSheetId="14">'T5A_PLAN_vs_PRFM '!$A$1:$J$27</definedName>
    <definedName name="_xlnm.Print_Area" localSheetId="15">'T5B_PLAN_vs_PRFM  (2)'!$A$1:$J$27</definedName>
    <definedName name="_xlnm.Print_Area" localSheetId="16">'T5C_Drought_PLAN_vs_PRFM '!$A$1:$J$27</definedName>
    <definedName name="_xlnm.Print_Area" localSheetId="17">'T5D_Drought_PLAN_vs_PRFM  '!$A$1:$J$27</definedName>
    <definedName name="_xlnm.Print_Area" localSheetId="18">'T6_FG_py_Utlsn'!$A$1:$L$29</definedName>
    <definedName name="_xlnm.Print_Area" localSheetId="19">'T6A_FG_Upy_Utlsn '!$A$1:$L$29</definedName>
    <definedName name="_xlnm.Print_Area" localSheetId="20">'T6B_Pay_FG_FCI_Pry'!$A$1:$M$30</definedName>
    <definedName name="_xlnm.Print_Area" localSheetId="21">'T6C_Coarse_Grain'!$A$1:$L$29</definedName>
    <definedName name="_xlnm.Print_Area" localSheetId="22">'T7_CC_PY_Utlsn'!$A$1:$Q$30</definedName>
    <definedName name="_xlnm.Print_Area" localSheetId="23">'T7ACC_UPY_Utlsn '!$A$1:$Q$28</definedName>
  </definedNames>
  <calcPr fullCalcOnLoad="1"/>
</workbook>
</file>

<file path=xl/sharedStrings.xml><?xml version="1.0" encoding="utf-8"?>
<sst xmlns="http://schemas.openxmlformats.org/spreadsheetml/2006/main" count="3084" uniqueCount="1069">
  <si>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</si>
  <si>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</si>
  <si>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</si>
  <si>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</si>
  <si>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</si>
  <si>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</si>
  <si>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</si>
  <si>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</si>
  <si>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</si>
  <si>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</si>
  <si>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</si>
  <si>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</si>
  <si>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(Only in MS-Excel Format)</t>
  </si>
  <si>
    <t xml:space="preserve">No. of children </t>
  </si>
  <si>
    <t>Total no. of meals served</t>
  </si>
  <si>
    <t>Total</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</si>
  <si>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</si>
  <si>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</si>
  <si>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</si>
  <si>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</si>
  <si>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</si>
  <si>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</si>
  <si>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</si>
  <si>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</si>
  <si>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</si>
  <si>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</si>
  <si>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</si>
  <si>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</si>
  <si>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</si>
  <si>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</si>
  <si>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</si>
  <si>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</si>
  <si>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</si>
  <si>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</si>
  <si>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</si>
  <si>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</si>
  <si>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</si>
  <si>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</si>
  <si>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</si>
  <si>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</si>
  <si>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</si>
  <si>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</si>
  <si>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</si>
  <si>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</si>
  <si>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</si>
  <si>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</si>
  <si>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</si>
  <si>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</si>
  <si>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</si>
  <si>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</si>
  <si>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</si>
  <si>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</si>
  <si>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</si>
  <si>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</si>
  <si>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</si>
  <si>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</si>
  <si>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</si>
  <si>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</si>
  <si>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</si>
  <si>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</si>
  <si>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</si>
  <si>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</si>
  <si>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</si>
  <si>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</si>
  <si>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</si>
  <si>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</si>
  <si>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</si>
  <si>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</si>
  <si>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</si>
  <si>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</si>
  <si>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</si>
  <si>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</si>
  <si>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</si>
  <si>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</si>
  <si>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</si>
  <si>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</si>
  <si>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</si>
  <si>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</si>
  <si>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</si>
  <si>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</si>
  <si>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</si>
  <si>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</si>
  <si>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</si>
  <si>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</si>
  <si>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</si>
  <si>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</si>
  <si>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</si>
  <si>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</si>
  <si>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</si>
  <si>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</si>
  <si>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</si>
  <si>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</si>
  <si>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</si>
  <si>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</si>
  <si>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</si>
  <si>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</si>
  <si>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</si>
  <si>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</si>
  <si>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</si>
  <si>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</si>
  <si>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</si>
  <si>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</si>
  <si>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</si>
  <si>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</si>
  <si>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Component</t>
  </si>
  <si>
    <t>No. of Meals served</t>
  </si>
  <si>
    <t xml:space="preserve">No. of working days on which MDM served </t>
  </si>
  <si>
    <t>Total (col.8+11-14)</t>
  </si>
  <si>
    <t>*</t>
  </si>
  <si>
    <t>Central assistance received</t>
  </si>
  <si>
    <t>*Rice</t>
  </si>
  <si>
    <t>*Wheat</t>
  </si>
  <si>
    <t>**</t>
  </si>
  <si>
    <t>***</t>
  </si>
  <si>
    <t>Total            (col 3+4+5+6)</t>
  </si>
  <si>
    <t>Total       (col.8+9+10+11)</t>
  </si>
  <si>
    <t>Total       (col.13+14+15+16)</t>
  </si>
  <si>
    <t>SHG</t>
  </si>
  <si>
    <t>NGO</t>
  </si>
  <si>
    <t>PRI - Panchayati Raj Institution</t>
  </si>
  <si>
    <t>SHG - Self Help Group</t>
  </si>
  <si>
    <t>VEC Village Education Committee</t>
  </si>
  <si>
    <t>WEC - Ward Education Committee</t>
  </si>
  <si>
    <t>Table: AT-20</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</si>
  <si>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</si>
  <si>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</si>
  <si>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</si>
  <si>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</si>
  <si>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</si>
  <si>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</si>
  <si>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</si>
  <si>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</si>
  <si>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</si>
  <si>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</si>
  <si>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</si>
  <si>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t>
  </si>
  <si>
    <t>##</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</si>
  <si>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</si>
  <si>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</si>
  <si>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</si>
  <si>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</si>
  <si>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</si>
  <si>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</si>
  <si>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</si>
  <si>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</si>
  <si>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</si>
  <si>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</si>
  <si>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</si>
  <si>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</si>
  <si>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</si>
  <si>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</si>
  <si>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</si>
  <si>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</si>
  <si>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</si>
  <si>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t>
  </si>
  <si>
    <t>Budget Provision</t>
  </si>
  <si>
    <t>*: includes unspent balance at State, District, Block and school level (including NGOs/Private Agencies).</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</si>
  <si>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</si>
  <si>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</si>
  <si>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</si>
  <si>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</si>
  <si>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</si>
  <si>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</si>
  <si>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</si>
  <si>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</si>
  <si>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</si>
  <si>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</si>
  <si>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</si>
  <si>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</si>
  <si>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Cost   (in Rs.)</t>
  </si>
  <si>
    <t xml:space="preserve">Vegetables </t>
  </si>
  <si>
    <t>Central</t>
  </si>
  <si>
    <t>Proposed</t>
  </si>
  <si>
    <t>For Central Share</t>
  </si>
  <si>
    <t>For State Share</t>
  </si>
  <si>
    <t>Central Share</t>
  </si>
  <si>
    <t>Date on which Block / Gram Panchyat / School / Cooking Agency received funds</t>
  </si>
  <si>
    <t>Directorate / Authority</t>
  </si>
  <si>
    <t xml:space="preserve">*Total </t>
  </si>
  <si>
    <t>States / UTs will indicate their choice.</t>
  </si>
  <si>
    <t xml:space="preserve">Cost of foodgrains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</si>
  <si>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</si>
  <si>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</si>
  <si>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</si>
  <si>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</si>
  <si>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</si>
  <si>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</si>
  <si>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</si>
  <si>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</si>
  <si>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</si>
  <si>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</si>
  <si>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</si>
  <si>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</si>
  <si>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</si>
  <si>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</si>
  <si>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</si>
  <si>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</si>
  <si>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</si>
  <si>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</si>
  <si>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</si>
  <si>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</si>
  <si>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</si>
  <si>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</si>
  <si>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</si>
  <si>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</si>
  <si>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</si>
  <si>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</si>
  <si>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</si>
  <si>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</si>
  <si>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</si>
  <si>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 xml:space="preserve">Tax per MT foodgrain, if any : </t>
  </si>
  <si>
    <t>(Govt+LB)</t>
  </si>
  <si>
    <t>GA</t>
  </si>
  <si>
    <t>State Share(9+12-15)</t>
  </si>
  <si>
    <t>Total(10+13-16)</t>
  </si>
  <si>
    <t xml:space="preserve">No. of schools </t>
  </si>
  <si>
    <t xml:space="preserve">Health Check -ups </t>
  </si>
  <si>
    <t>Name of  District</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</si>
  <si>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</si>
  <si>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</si>
  <si>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</si>
  <si>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</si>
  <si>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</si>
  <si>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</si>
  <si>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</si>
  <si>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</si>
  <si>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</si>
  <si>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col.7 x col.8 x State's / UT's share</t>
  </si>
  <si>
    <t>Deworming tablets distributed</t>
  </si>
  <si>
    <t xml:space="preserve">[col. 9]x Rs. PDS rate for Special Category States  </t>
  </si>
  <si>
    <t xml:space="preserve">[col. 9]x Rs. 750 for other States/UTs. </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</si>
  <si>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</si>
  <si>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</si>
  <si>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</si>
  <si>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</si>
  <si>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</si>
  <si>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</si>
  <si>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</si>
  <si>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</si>
  <si>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</si>
  <si>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</si>
  <si>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</si>
  <si>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</si>
  <si>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</si>
  <si>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</si>
  <si>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</si>
  <si>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</si>
  <si>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</si>
  <si>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</si>
  <si>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</si>
  <si>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</si>
  <si>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</si>
  <si>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</si>
  <si>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</si>
  <si>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</si>
  <si>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</si>
  <si>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</si>
  <si>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</si>
  <si>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</si>
  <si>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</si>
  <si>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</si>
  <si>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</si>
  <si>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</si>
  <si>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</si>
  <si>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</si>
  <si>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</si>
  <si>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</si>
  <si>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</si>
  <si>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</si>
  <si>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</si>
  <si>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</si>
  <si>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</si>
  <si>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</si>
  <si>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</si>
  <si>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</si>
  <si>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</si>
  <si>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</si>
  <si>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</si>
  <si>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</si>
  <si>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</si>
  <si>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</si>
  <si>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</si>
  <si>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</si>
  <si>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</si>
  <si>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</si>
  <si>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</si>
  <si>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</si>
  <si>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</si>
  <si>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</si>
  <si>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</si>
  <si>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</si>
  <si>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</si>
  <si>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</si>
  <si>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</si>
  <si>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</si>
  <si>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</si>
  <si>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</si>
  <si>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</si>
  <si>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</si>
  <si>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</si>
  <si>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</si>
  <si>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</si>
  <si>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</si>
  <si>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</si>
  <si>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</si>
  <si>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</si>
  <si>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</si>
  <si>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</si>
  <si>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</si>
  <si>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</si>
  <si>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</si>
  <si>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</si>
  <si>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</si>
  <si>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</si>
  <si>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</si>
  <si>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</si>
  <si>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</si>
  <si>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</si>
  <si>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</si>
  <si>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</si>
  <si>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</si>
  <si>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</si>
  <si>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</si>
  <si>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</si>
  <si>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</si>
  <si>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</si>
  <si>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</si>
  <si>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</si>
  <si>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</si>
  <si>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</si>
  <si>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</si>
  <si>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</si>
  <si>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</si>
  <si>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</si>
  <si>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</si>
  <si>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</si>
  <si>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</si>
  <si>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</si>
  <si>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</si>
  <si>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</si>
  <si>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</si>
  <si>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</si>
  <si>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</si>
  <si>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</si>
  <si>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</si>
  <si>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</si>
  <si>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</si>
  <si>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</si>
  <si>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</si>
  <si>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</si>
  <si>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</si>
  <si>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</si>
  <si>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</si>
  <si>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</si>
  <si>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</si>
  <si>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</si>
  <si>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</si>
  <si>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</si>
  <si>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</si>
  <si>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</si>
  <si>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</si>
  <si>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</si>
  <si>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</si>
  <si>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</si>
  <si>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</si>
  <si>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xml:space="preserve">Closing Balance**                 (col.4+5-6)                         </t>
  </si>
  <si>
    <t xml:space="preserve">Closing Balance**  (col.9+10-11)                         </t>
  </si>
  <si>
    <t>**: includes unspent balance at State, District, Block and school level (including NGOs/Private Agencies).</t>
  </si>
  <si>
    <t>* Including Drought also, if applicable</t>
  </si>
  <si>
    <t xml:space="preserve">Closing Balance**                  (col.4+5-6)                         </t>
  </si>
  <si>
    <t xml:space="preserve">Closing Balance** (col.9+10-11)                         </t>
  </si>
  <si>
    <t>** state share includes funds as well as monetary value of the commodities supplied by the State/UT</t>
  </si>
  <si>
    <t>** State</t>
  </si>
  <si>
    <t>**State</t>
  </si>
  <si>
    <t xml:space="preserve">**State (col.7+10-13) </t>
  </si>
  <si>
    <t xml:space="preserve">No. of Cook-cum-helpers approved by  PAB-MDM </t>
  </si>
  <si>
    <t xml:space="preserve">No. of CCHs engaged by States/UTs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</si>
  <si>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</si>
  <si>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</si>
  <si>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</si>
  <si>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</si>
  <si>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</si>
  <si>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</si>
  <si>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</si>
  <si>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</si>
  <si>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</si>
  <si>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</si>
  <si>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</si>
  <si>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</si>
  <si>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No. of Kitchens</t>
  </si>
  <si>
    <t>No. of institution covered</t>
  </si>
  <si>
    <t>SMC/VEC / WEC</t>
  </si>
  <si>
    <t>No. of SHG</t>
  </si>
  <si>
    <t>Total no. of Institutions</t>
  </si>
  <si>
    <t>Status</t>
  </si>
  <si>
    <t>No. of IEC Activities</t>
  </si>
  <si>
    <t>Level</t>
  </si>
  <si>
    <t>District/ Block</t>
  </si>
  <si>
    <t>School</t>
  </si>
  <si>
    <t>Tools</t>
  </si>
  <si>
    <t>Audio Video</t>
  </si>
  <si>
    <t>Print</t>
  </si>
  <si>
    <t>Traditional (Nukkad Natak, Folk Songs, Rallies, Others)</t>
  </si>
  <si>
    <t>`</t>
  </si>
  <si>
    <t>No. of schools having hand washing facilities</t>
  </si>
  <si>
    <t>Tap</t>
  </si>
  <si>
    <t>Hand pump</t>
  </si>
  <si>
    <t>Pond/ well/ Stream</t>
  </si>
  <si>
    <t>Teacher</t>
  </si>
  <si>
    <t>Community</t>
  </si>
  <si>
    <t>CCH</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</si>
  <si>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</si>
  <si>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</si>
  <si>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</si>
  <si>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</si>
  <si>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</si>
  <si>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</si>
  <si>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</si>
  <si>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</si>
  <si>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</si>
  <si>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</si>
  <si>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</si>
  <si>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</si>
  <si>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</si>
  <si>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</si>
  <si>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</si>
  <si>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</si>
  <si>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</si>
  <si>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Anticipated No. of working days for NCLP</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</si>
  <si>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</si>
  <si>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</si>
  <si>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</si>
  <si>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</si>
  <si>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</si>
  <si>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</si>
  <si>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</si>
  <si>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</si>
  <si>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</si>
  <si>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</si>
  <si>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</si>
  <si>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</si>
  <si>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</si>
  <si>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</si>
  <si>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</si>
  <si>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</si>
  <si>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</si>
  <si>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</si>
  <si>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</si>
  <si>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</si>
  <si>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</si>
  <si>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</si>
  <si>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</si>
  <si>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</si>
  <si>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</si>
  <si>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</si>
  <si>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</si>
  <si>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</si>
  <si>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</si>
  <si>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3 (28 sq Mtr)</t>
  </si>
  <si>
    <t>Plinth Area 4 (32 sq Mtr)</t>
  </si>
  <si>
    <t>Gen. Col. 3-Col.15</t>
  </si>
  <si>
    <t>SC.  Col. 4-Col.16</t>
  </si>
  <si>
    <t>ST.  Col. 5-Col.17</t>
  </si>
  <si>
    <t>Total Col. 19+Col.20+Col.21</t>
  </si>
  <si>
    <t>(Rs. In  Lakh)</t>
  </si>
  <si>
    <t>Total sanctioned</t>
  </si>
  <si>
    <t>Full meal in lieu of MDM</t>
  </si>
  <si>
    <t>Children benefitted</t>
  </si>
  <si>
    <t>Meals served</t>
  </si>
  <si>
    <t>Name of the items</t>
  </si>
  <si>
    <t>In kind</t>
  </si>
  <si>
    <t>In any other form</t>
  </si>
  <si>
    <t>Additional Food Item</t>
  </si>
  <si>
    <t>Value
(In Rs)</t>
  </si>
  <si>
    <t xml:space="preserve">No. of schools received contribution </t>
  </si>
  <si>
    <t>State : TRIPURA</t>
  </si>
  <si>
    <t>West</t>
  </si>
  <si>
    <t>Sepahjala</t>
  </si>
  <si>
    <t>Khowai</t>
  </si>
  <si>
    <t>Gomati</t>
  </si>
  <si>
    <t>South</t>
  </si>
  <si>
    <t>Unakoti</t>
  </si>
  <si>
    <t>North</t>
  </si>
  <si>
    <t>Dhalai</t>
  </si>
  <si>
    <t>Total :-</t>
  </si>
  <si>
    <t xml:space="preserve">State : TRIPURA </t>
  </si>
  <si>
    <t xml:space="preserve">                   [Mid-Day Meal Scheme]</t>
  </si>
  <si>
    <t xml:space="preserve"> Government of Tripura</t>
  </si>
  <si>
    <t>Government of Tripura</t>
  </si>
  <si>
    <t>S.  No.</t>
  </si>
  <si>
    <t>S.    No.</t>
  </si>
  <si>
    <t>S.   No.</t>
  </si>
  <si>
    <t>S.           No.</t>
  </si>
  <si>
    <t>S.              No.</t>
  </si>
  <si>
    <t xml:space="preserve">                             Seal:</t>
  </si>
  <si>
    <t>S.      No.</t>
  </si>
  <si>
    <t>S.        No.</t>
  </si>
  <si>
    <t>Sl.    No.</t>
  </si>
  <si>
    <t>STATE : TRIPURA</t>
  </si>
  <si>
    <t>S.     No.</t>
  </si>
  <si>
    <t>State :TRIPURA</t>
  </si>
  <si>
    <t>Sl  No</t>
  </si>
  <si>
    <r>
      <t>Financial            (</t>
    </r>
    <r>
      <rPr>
        <b/>
        <i/>
        <sz val="10"/>
        <rFont val="Arial"/>
        <family val="2"/>
      </rPr>
      <t>Rs. in lakh)</t>
    </r>
  </si>
  <si>
    <t>S.            No.</t>
  </si>
  <si>
    <t>S.   no</t>
  </si>
  <si>
    <t>100 grms</t>
  </si>
  <si>
    <t>As per need</t>
  </si>
  <si>
    <t>150 grms</t>
  </si>
  <si>
    <t xml:space="preserve">(Govt+LB)  Schools </t>
  </si>
  <si>
    <t>N.B:</t>
  </si>
  <si>
    <t>NIL</t>
  </si>
  <si>
    <t>e-Transfer</t>
  </si>
  <si>
    <t>Nil</t>
  </si>
  <si>
    <t>Transportation Assistance has been calculated on the basis of Rs.1890.00 per MT Rice.</t>
  </si>
  <si>
    <t>Namr of District</t>
  </si>
  <si>
    <t xml:space="preserve">State : Tripura </t>
  </si>
  <si>
    <t>Academic Calendar      (No. of Days)</t>
  </si>
  <si>
    <t>N.B: Other : School Authority ( HM/ AHM &amp; MDM Assigned Teacher)</t>
  </si>
  <si>
    <t>Nutritionist</t>
  </si>
  <si>
    <t>Financial Assistant</t>
  </si>
  <si>
    <t>MIS Data Entry Operator</t>
  </si>
  <si>
    <t>Branch Officer (MDM)</t>
  </si>
  <si>
    <t>Sr. Consultant</t>
  </si>
  <si>
    <t>District Education Officer</t>
  </si>
  <si>
    <t>Inspector of Schools</t>
  </si>
  <si>
    <t>Dy. Inspector of Schools</t>
  </si>
  <si>
    <t>UDC</t>
  </si>
  <si>
    <t>LDC</t>
  </si>
  <si>
    <t>Group - D</t>
  </si>
  <si>
    <t>Head Clark</t>
  </si>
  <si>
    <t>Recurring Assistance Total</t>
  </si>
  <si>
    <t>Non-Recurring Assistance Total</t>
  </si>
  <si>
    <t>Yes</t>
  </si>
  <si>
    <t>Yes : tripuramdm@gmail.com</t>
  </si>
  <si>
    <t>No</t>
  </si>
  <si>
    <t>Mobile No.</t>
  </si>
  <si>
    <t>Total:</t>
  </si>
  <si>
    <t>Total Recurring Assistance</t>
  </si>
  <si>
    <t>Total Non-Recurring Assistance</t>
  </si>
  <si>
    <t>Table: AT-12A</t>
  </si>
  <si>
    <r>
      <t xml:space="preserve">Plinth Area 2 </t>
    </r>
    <r>
      <rPr>
        <b/>
        <sz val="12"/>
        <color indexed="8"/>
        <rFont val="Arial"/>
        <family val="2"/>
      </rPr>
      <t>(24 sq Mtr)</t>
    </r>
  </si>
  <si>
    <t xml:space="preserve">Status of Releasing of Funds by the State </t>
  </si>
  <si>
    <t>No . of schools  covered</t>
  </si>
  <si>
    <t xml:space="preserve">   Seal:</t>
  </si>
  <si>
    <t xml:space="preserve">     Seal:</t>
  </si>
  <si>
    <t xml:space="preserve">             Seal:</t>
  </si>
  <si>
    <t xml:space="preserve">               Seal:</t>
  </si>
  <si>
    <t xml:space="preserve">                     Seal:</t>
  </si>
  <si>
    <t xml:space="preserve">                   Seal:</t>
  </si>
  <si>
    <t xml:space="preserve">                                              [Mid-Day Meal Scheme]</t>
  </si>
  <si>
    <t xml:space="preserve">         Seal:</t>
  </si>
  <si>
    <t xml:space="preserve">                Seal:</t>
  </si>
  <si>
    <t xml:space="preserve">           Seal:</t>
  </si>
  <si>
    <t xml:space="preserve">                                    [Mid-Day Meal Scheme]</t>
  </si>
  <si>
    <t xml:space="preserve">                 Seal:</t>
  </si>
  <si>
    <t xml:space="preserve">                    [Mid-Day Meal Scheme]</t>
  </si>
  <si>
    <t>75 grms</t>
  </si>
  <si>
    <r>
      <t>Financial           (</t>
    </r>
    <r>
      <rPr>
        <b/>
        <i/>
        <sz val="10"/>
        <rFont val="Arial"/>
        <family val="2"/>
      </rPr>
      <t>Rs. in lakh)</t>
    </r>
  </si>
  <si>
    <t>Transportation cost should be meetup on the basis of new rate and this will be intimated later on to the Ministry.</t>
  </si>
  <si>
    <t>NB:</t>
  </si>
  <si>
    <t>Contents</t>
  </si>
  <si>
    <t>Table No.</t>
  </si>
  <si>
    <t>Particulars</t>
  </si>
  <si>
    <t>AT- 1</t>
  </si>
  <si>
    <t>AT - 2</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</si>
  <si>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</si>
  <si>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</si>
  <si>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</si>
  <si>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</si>
  <si>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</si>
  <si>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</si>
  <si>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</si>
  <si>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</si>
  <si>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</si>
  <si>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</si>
  <si>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</si>
  <si>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</si>
  <si>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</si>
  <si>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</si>
  <si>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</si>
  <si>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</si>
  <si>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</si>
  <si>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</si>
  <si>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</si>
  <si>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</si>
  <si>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</si>
  <si>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</si>
  <si>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</si>
  <si>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</si>
  <si>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</si>
  <si>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</si>
  <si>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</si>
  <si>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</si>
  <si>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</si>
  <si>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</si>
  <si>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AT - 14</t>
  </si>
  <si>
    <t>AT - 14 A</t>
  </si>
  <si>
    <t>AT - 15</t>
  </si>
  <si>
    <t>AT - 16</t>
  </si>
  <si>
    <t>AT - 17</t>
  </si>
  <si>
    <t>AT - 18</t>
  </si>
  <si>
    <t>Formation of School Management Committee (SMC) at School Level for Monitoring the Scheme</t>
  </si>
  <si>
    <t>AT - 19</t>
  </si>
  <si>
    <t>Responsibility of Implementation</t>
  </si>
  <si>
    <t>AT - 20</t>
  </si>
  <si>
    <t xml:space="preserve">Information on Cooking Agencies </t>
  </si>
  <si>
    <t>AT - 21</t>
  </si>
  <si>
    <t>AT - 22</t>
  </si>
  <si>
    <t>AT - 23</t>
  </si>
  <si>
    <t>AT - 24</t>
  </si>
  <si>
    <t>AT - 25</t>
  </si>
  <si>
    <t>Manpower dedicated for MDMS</t>
  </si>
  <si>
    <t>AT - 26</t>
  </si>
  <si>
    <t>Details of mode of cooking</t>
  </si>
  <si>
    <t>AT - 27</t>
  </si>
  <si>
    <t>AT - 28</t>
  </si>
  <si>
    <t>Details of discrimination of any kind in MDMS</t>
  </si>
  <si>
    <t>AT - 29</t>
  </si>
  <si>
    <t>Details of engagement and apportionment of honorarium to cook cum helpers (CCH) between schools and centralized kitchen.</t>
  </si>
  <si>
    <t>AT - 30</t>
  </si>
  <si>
    <t>Information on NGOs covering more than 20000 children, if any</t>
  </si>
  <si>
    <t>AT - 31</t>
  </si>
  <si>
    <t>Details of Grievance Redressal cell</t>
  </si>
  <si>
    <t>Details of IEC Activities</t>
  </si>
  <si>
    <t>Quality, Safety and Hygiene</t>
  </si>
  <si>
    <t>Testing of Food Samples</t>
  </si>
  <si>
    <t>Contribution by community in form of  Tithi Bhojan or any other similar practice</t>
  </si>
  <si>
    <t>Interuptions in serving of MDM and MDM allowance paid to children</t>
  </si>
  <si>
    <t xml:space="preserve">3.  Per Unit Cooking Cost </t>
  </si>
  <si>
    <t xml:space="preserve">2. Cost of meal per child per school day as per State Nutrition / Expenditure Norm including both, Central and State share. </t>
  </si>
  <si>
    <t>1. Cooks- cum- helpers engaged under Mid Day Meal Scheme</t>
  </si>
  <si>
    <t>2. a.  Additional Food Items (per child)</t>
  </si>
  <si>
    <t>Table: AT-10 A</t>
  </si>
  <si>
    <t xml:space="preserve">Number of </t>
  </si>
  <si>
    <t>Meetings of District level committee headed by the senior most Member of Parliament of Loksabha</t>
  </si>
  <si>
    <t>Meetings of District Steering cum Monitoring committee headed by District Megistrate</t>
  </si>
  <si>
    <t>Schools inspected by Govt. officials</t>
  </si>
  <si>
    <t>State: TRIPURA</t>
  </si>
  <si>
    <t>2014-15</t>
  </si>
  <si>
    <t>Note : State may indicate their plinth area and size of the kitchen-cum-stores if they have any other plinth area than mentioned in the table.</t>
  </si>
  <si>
    <t xml:space="preserve">Table: AT-20  : Information on Cooking Agencies </t>
  </si>
  <si>
    <t>Mode of cooking (No. of Schools)</t>
  </si>
  <si>
    <t xml:space="preserve">LPG </t>
  </si>
  <si>
    <t>Solar cooker</t>
  </si>
  <si>
    <t>Fire wood</t>
  </si>
  <si>
    <t xml:space="preserve">Name of the Accredited / Recognised lab engaged for testing </t>
  </si>
  <si>
    <t xml:space="preserve">Number of samples </t>
  </si>
  <si>
    <t>Result (No. of samples)</t>
  </si>
  <si>
    <t xml:space="preserve">Collected </t>
  </si>
  <si>
    <t>Tested</t>
  </si>
  <si>
    <t>Meeting norms</t>
  </si>
  <si>
    <t>Below norms</t>
  </si>
  <si>
    <t xml:space="preserve">Meals not served </t>
  </si>
  <si>
    <t>Whether allowance is paid to children</t>
  </si>
  <si>
    <t xml:space="preserve">Number of institutions </t>
  </si>
  <si>
    <t>No. of working days</t>
  </si>
  <si>
    <t xml:space="preserve">Number of children </t>
  </si>
  <si>
    <t xml:space="preserve">State: TRIPURA </t>
  </si>
  <si>
    <t>Table: AT-12 A : Sanction and Utilisation of Central assistance towards replacement of Kitchen Devices</t>
  </si>
  <si>
    <t xml:space="preserve">that is why the no. of KS in col. No. 5 for the year 2011-12 has been shown as 1991 (1730+261=1991) and </t>
  </si>
  <si>
    <t>accordingly total no. of completed KS shown in Col. No. 5 is 5565 instad of 5304.</t>
  </si>
  <si>
    <t>During the year 2011-12 GoI has sanctioned 1730 KS but the State has constructed 1991 KS utilising the same fund.</t>
  </si>
  <si>
    <t>All fund has been reallocated through e-transfer system.</t>
  </si>
  <si>
    <t xml:space="preserve">  Government of Tripura</t>
  </si>
  <si>
    <t>1800-345-3667</t>
  </si>
  <si>
    <t>Guideline Booklet</t>
  </si>
  <si>
    <t>Poster</t>
  </si>
  <si>
    <t>Hording</t>
  </si>
  <si>
    <t>Periodical publication in local news paper</t>
  </si>
  <si>
    <t>Documentary</t>
  </si>
  <si>
    <t>Publication in local magazine</t>
  </si>
  <si>
    <t>Expendituer Incurred           (in Lakhs)</t>
  </si>
  <si>
    <t>The type of IEC activities are give below:</t>
  </si>
  <si>
    <t>Annexure A</t>
  </si>
  <si>
    <t>Annexure B</t>
  </si>
  <si>
    <t>Annexure C</t>
  </si>
  <si>
    <t>Emergency plan followed in the State</t>
  </si>
  <si>
    <t xml:space="preserve">(Govt+LB) Schools </t>
  </si>
  <si>
    <t>NA</t>
  </si>
  <si>
    <t xml:space="preserve">FCI raised bills of cost of foodgrains centrally for all the districts and accordingly payment has been made centrally. </t>
  </si>
  <si>
    <t xml:space="preserve">Proposed number of children  </t>
  </si>
  <si>
    <t>Proposed number of children</t>
  </si>
  <si>
    <t xml:space="preserve">The Secretary of FCS&amp;CA Deptt. pointed out in the S-SMC meeting held on 03.02.2016 that an open tender has been invited for fixing the rate of TC/DC. </t>
  </si>
  <si>
    <t>Tasting of food (number of schools)</t>
  </si>
  <si>
    <t>Parents</t>
  </si>
  <si>
    <t xml:space="preserve">Procured (C) </t>
  </si>
  <si>
    <t>Financial                                  ( Rs. in lakh)                                       [col. 4-col.6-col.8]</t>
  </si>
  <si>
    <t>Financial                            ( Rs. in lakh)                                       [col. 4-col.6-col.8]</t>
  </si>
  <si>
    <t>2015-16</t>
  </si>
  <si>
    <t>Others                      (Please specify)</t>
  </si>
  <si>
    <t>AT - 2 A</t>
  </si>
  <si>
    <t>AT - 10 B</t>
  </si>
  <si>
    <t xml:space="preserve">Details of Social Audit </t>
  </si>
  <si>
    <t>AT - 10 C</t>
  </si>
  <si>
    <t>AT - 10 D</t>
  </si>
  <si>
    <t>AT - 23 A</t>
  </si>
  <si>
    <t>AT - 26 A</t>
  </si>
  <si>
    <t>AT - 27 A</t>
  </si>
  <si>
    <t>AT - 27 B</t>
  </si>
  <si>
    <t>AT - 27 C</t>
  </si>
  <si>
    <t>AT - 27 D</t>
  </si>
  <si>
    <t>AT - 28 A</t>
  </si>
  <si>
    <t>Table: AT-2A</t>
  </si>
  <si>
    <t>Table - AT - 10 B</t>
  </si>
  <si>
    <t>Table AT -10 C : Details of IEC Activities</t>
  </si>
  <si>
    <t>Table: AT- 10 C</t>
  </si>
  <si>
    <t>Table-AT- 10D</t>
  </si>
  <si>
    <t>Table: AT 10 D - Manpower dedicated for MDMS</t>
  </si>
  <si>
    <t>Table AT-13</t>
  </si>
  <si>
    <t>Table AT- 13: Details of mode of cooking</t>
  </si>
  <si>
    <t>Table: AT- 14</t>
  </si>
  <si>
    <t>Table AT -14 : Quality, Safety and Hygiene</t>
  </si>
  <si>
    <t>No. of schools having parents roaster</t>
  </si>
  <si>
    <t>No. of schools having tasting register</t>
  </si>
  <si>
    <t>Table: AT- 14 A</t>
  </si>
  <si>
    <t>Table AT -14 A : Testing of Food Samples by accredited labs</t>
  </si>
  <si>
    <t>Table: AT- 15</t>
  </si>
  <si>
    <t>Table AT -15 : Contribution by community in form of  Tithi Bhojan or any other similar practice</t>
  </si>
  <si>
    <t>Table: AT- 16</t>
  </si>
  <si>
    <t>Table AT -16 : Interuptions in serving of MDM and MDM allowance paid to children</t>
  </si>
  <si>
    <t>No. of NGO</t>
  </si>
  <si>
    <t>No. of Trust</t>
  </si>
  <si>
    <t>Table - AT - 21</t>
  </si>
  <si>
    <t>Table AT 21 :Details of engagement and apportionment of honorarium to cook cum helpers (CCH) between schools and centralized kitchen.</t>
  </si>
  <si>
    <t>Table: AT- 22</t>
  </si>
  <si>
    <t>Table AT -22 :Information on NGOs covering more than 20000 children, if any</t>
  </si>
  <si>
    <t>Table-AT- 23</t>
  </si>
  <si>
    <t>Table-AT- 23 A</t>
  </si>
  <si>
    <t>Mid Day Meal Scheme</t>
  </si>
  <si>
    <t>No. of Inst. For which daily data transferred to central server</t>
  </si>
  <si>
    <t>Table - AT - 24</t>
  </si>
  <si>
    <t>Table AT - 24 : Details of discrimination of any kind in MDMS</t>
  </si>
  <si>
    <t>Table: AT- 25</t>
  </si>
  <si>
    <t>Table AT- 25: Details of Grievance Redressal cell</t>
  </si>
  <si>
    <t>Table: AT-26</t>
  </si>
  <si>
    <t>Table: AT-26 A</t>
  </si>
  <si>
    <t>Table: AT-27</t>
  </si>
  <si>
    <t>col. 10 x Rs.  3000.00 + VAT/Other taxes</t>
  </si>
  <si>
    <t>col. 11x Rs. 2000.00 + VAT/Other taxes</t>
  </si>
  <si>
    <t>Table: AT-27 A</t>
  </si>
  <si>
    <t>Table: AT-27 B</t>
  </si>
  <si>
    <t>Table: AT-27 C</t>
  </si>
  <si>
    <t>Table: AT-27 D</t>
  </si>
  <si>
    <t>Table: AT-28</t>
  </si>
  <si>
    <t xml:space="preserve">Table: AT-28 A </t>
  </si>
  <si>
    <t>Table: AT-29</t>
  </si>
  <si>
    <t>Table: AT-30</t>
  </si>
  <si>
    <t>11 = 5+6+9+10</t>
  </si>
  <si>
    <t>SI. No</t>
  </si>
  <si>
    <t>Table: AT-31</t>
  </si>
  <si>
    <t>Total Recurring and Non-Recurring Assistance</t>
  </si>
  <si>
    <t>(col.7 x col.8 x Rs. 3.72 for NER States and 3 hilly States), (col.7 x col. 8 x Rs. 4.13 for UTs) and (col. 7 x col. 8 x Rs. 2.48 for other States)</t>
  </si>
  <si>
    <r>
      <t>Financial                      (</t>
    </r>
    <r>
      <rPr>
        <b/>
        <i/>
        <sz val="10"/>
        <rFont val="Arial"/>
        <family val="2"/>
      </rPr>
      <t>Rs. in lakh)</t>
    </r>
  </si>
  <si>
    <r>
      <t>Financial               (</t>
    </r>
    <r>
      <rPr>
        <b/>
        <i/>
        <sz val="10"/>
        <rFont val="Arial"/>
        <family val="2"/>
      </rPr>
      <t>Rs. in lakh)</t>
    </r>
  </si>
  <si>
    <t>2018-19</t>
  </si>
  <si>
    <r>
      <t>Financial                  (</t>
    </r>
    <r>
      <rPr>
        <b/>
        <i/>
        <sz val="10"/>
        <rFont val="Arial"/>
        <family val="2"/>
      </rPr>
      <t>Rs. in lakh)</t>
    </r>
  </si>
  <si>
    <r>
      <t>Financial              (</t>
    </r>
    <r>
      <rPr>
        <b/>
        <i/>
        <sz val="10"/>
        <rFont val="Arial"/>
        <family val="2"/>
      </rPr>
      <t>Rs. in lakh)</t>
    </r>
  </si>
  <si>
    <t>Financial                 ( Rs. in lakh)                                       [col. 4-col.6-col.8]</t>
  </si>
  <si>
    <r>
      <t>Financial             (</t>
    </r>
    <r>
      <rPr>
        <b/>
        <i/>
        <sz val="10"/>
        <rFont val="Arial"/>
        <family val="2"/>
      </rPr>
      <t>Rs. in lakh)</t>
    </r>
  </si>
  <si>
    <t>Financial                    ( Rs. in lakh)                                       [col. 4-col.6-col.8]</t>
  </si>
  <si>
    <t>2016-17</t>
  </si>
  <si>
    <t>System Analyst</t>
  </si>
  <si>
    <t>Directorate of Social Audit, Govt. of Tripura</t>
  </si>
  <si>
    <t>AT - 4 B</t>
  </si>
  <si>
    <t>Information on Aadhaar Enrolment</t>
  </si>
  <si>
    <t>Information on Kitchen Garden</t>
  </si>
  <si>
    <t>AT - 32</t>
  </si>
  <si>
    <t>AT - 32 A</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</si>
  <si>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</si>
  <si>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</si>
  <si>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</si>
  <si>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</si>
  <si>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</si>
  <si>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</si>
  <si>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</si>
  <si>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</si>
  <si>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</si>
  <si>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</si>
  <si>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</si>
  <si>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</si>
  <si>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</si>
  <si>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Table: AT- 32</t>
  </si>
  <si>
    <t>Foodgrains</t>
  </si>
  <si>
    <t xml:space="preserve">Hon. to cook-cum-helpers </t>
  </si>
  <si>
    <t>Allocation</t>
  </si>
  <si>
    <t>Utilisation</t>
  </si>
  <si>
    <t>Allocation (Centre +State)</t>
  </si>
  <si>
    <t>Utilisation (Centre +State)</t>
  </si>
  <si>
    <t>Table: AT- 32A</t>
  </si>
  <si>
    <t>Requirement of Pulses (in MTs)</t>
  </si>
  <si>
    <t>Pulse 1 (name)</t>
  </si>
  <si>
    <t>Pulse 2 (name)</t>
  </si>
  <si>
    <t>Pulse 3 (name)</t>
  </si>
  <si>
    <t>Pulse 4 (name)</t>
  </si>
  <si>
    <t>Pulse 5 (name)</t>
  </si>
  <si>
    <t>Requirement of Foodgrains                      (in MTs)</t>
  </si>
  <si>
    <t>Requirement of Foodgrains                 (in MTs)</t>
  </si>
  <si>
    <t>Requirement of Foodgrains                (in MTs)</t>
  </si>
  <si>
    <t>Complaints against Centralized Kitchens/ NGO/ SHG</t>
  </si>
  <si>
    <t xml:space="preserve">Average No. of children availed for MDM </t>
  </si>
  <si>
    <t>Covered through centralised kitchen</t>
  </si>
  <si>
    <t>Foodgrains provided to children (in MT)</t>
  </si>
  <si>
    <t>Amount paid to children (in Rs)</t>
  </si>
  <si>
    <t>Maximum number of institutions for which daily data transferred during the month</t>
  </si>
  <si>
    <t>Honorarium amount                      (Rs. In lakhs)</t>
  </si>
  <si>
    <t>* Norms are only for guidance. Actual number will be determined on the basis of ground reality.</t>
  </si>
  <si>
    <t>NB: The Honorarium of Cook-cum-Helpers are calculated Rs.1500/- (CSS-Rs.900/- + State Share-Rs.600/-) per month for 10 months.</t>
  </si>
  <si>
    <t>Pulse 1 (Masoor dal)</t>
  </si>
  <si>
    <t xml:space="preserve">AT - 10 E </t>
  </si>
  <si>
    <t>AT - 10 F</t>
  </si>
  <si>
    <t>Table: AT- 10 F</t>
  </si>
  <si>
    <t>Non payment of Honorarium to cook-cum-helpers *</t>
  </si>
  <si>
    <t>Office Assistant</t>
  </si>
  <si>
    <t xml:space="preserve">Although the requirement of Kitchen shed has shown 190, but due to shortage of sufficient space in schools. It is not required. </t>
  </si>
  <si>
    <t xml:space="preserve">Foodgrains (Rice) </t>
  </si>
  <si>
    <t>0.15 grms</t>
  </si>
  <si>
    <t>0.20 grms</t>
  </si>
  <si>
    <t>S. No</t>
  </si>
  <si>
    <t xml:space="preserve">   </t>
  </si>
  <si>
    <t>Additional Secretary to the</t>
  </si>
  <si>
    <t>**state share includes fund as well as monetary value of the commodities supplied by the State/UT</t>
  </si>
  <si>
    <t xml:space="preserve">The Indenpedent I to VIII Institutuions is included with the Upper primary units. </t>
  </si>
  <si>
    <t>GENERAL INFORMATION for 2018-19</t>
  </si>
  <si>
    <t>Details of  Provisions  in the State Budget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</si>
  <si>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</si>
  <si>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</si>
  <si>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</si>
  <si>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</si>
  <si>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</si>
  <si>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</si>
  <si>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</si>
  <si>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</si>
  <si>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</si>
  <si>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</si>
  <si>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</si>
  <si>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</si>
  <si>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</si>
  <si>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</si>
  <si>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</si>
  <si>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</si>
  <si>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</si>
  <si>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</si>
  <si>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Coverage under Rashtriya Bal Swasthya Karykram (School Health Programme) - 2018-19</t>
  </si>
  <si>
    <t>Annual and Monthly data entry status in MDM-MIS during 2018-19</t>
  </si>
  <si>
    <t>Implementation of Automated Monitoring System  during 2018-19</t>
  </si>
  <si>
    <t>PAB-MDM Approval vs. PERFORMANCE (Primary Classes I to V) during 2018-19 - Drought</t>
  </si>
  <si>
    <t>Information on Training of Cook-cum-Helpers</t>
  </si>
  <si>
    <t>Name of the Krishi Vigyan kendra  (KVK)</t>
  </si>
  <si>
    <t>Total no.  of Cook-cum-Helpers engaged</t>
  </si>
  <si>
    <t xml:space="preserve">Total no. of Cook-cum-Helpers trained during the year </t>
  </si>
  <si>
    <t>No. of Master Trainers</t>
  </si>
  <si>
    <t>Duration of training</t>
  </si>
  <si>
    <t xml:space="preserve">Modules used in the training </t>
  </si>
  <si>
    <t>Name of Training Agency</t>
  </si>
  <si>
    <t>Annual Work Plan and Budget 2019-20</t>
  </si>
  <si>
    <t>Table AT-10 F: Information on Training of Cook-cum-Helpers</t>
  </si>
  <si>
    <t>During 01.04.18 to 31.03.2019</t>
  </si>
  <si>
    <t xml:space="preserve">Additional Secretary of the </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</si>
  <si>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</si>
  <si>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</si>
  <si>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</si>
  <si>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</si>
  <si>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</si>
  <si>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</si>
  <si>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</si>
  <si>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</si>
  <si>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</si>
  <si>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Requirement of Cook cum Helpers for 2019-20</t>
  </si>
  <si>
    <t>Budget Provision for the Year 2019-20</t>
  </si>
  <si>
    <t>An Exhaustive MME Plan:  2019-20</t>
  </si>
  <si>
    <t>AT - 28 B</t>
  </si>
  <si>
    <t>Releasing of Funds from State to Directorate / Authority / District / Block / School level during 2018-19</t>
  </si>
  <si>
    <t>Enrolment vis-a-vis availed for MDM  (Upper Primary, Classes VI - VIII) during 2018-19</t>
  </si>
  <si>
    <t>Utilisation of Cooking cost (Upper Primary Classes, VI-VIII) during 2018-19</t>
  </si>
  <si>
    <t>Utilisation of funds towards honorarium to Cook-cum-Helpers (Primary classes I-V) during 2018-19</t>
  </si>
  <si>
    <t>Utilisation of funds towards honorarium to Cook-cum-Helpers (Upper Primary classes VI-VIII) during 2018-19</t>
  </si>
  <si>
    <t>Repair of kitchen cum stores constructed ten years ago</t>
  </si>
  <si>
    <t>Requirement of Kitchen Devices (new) during 2019-20 in Primary &amp; Upper Primary Schools</t>
  </si>
  <si>
    <t>AT- 29 A</t>
  </si>
  <si>
    <t>Replacement of Kitchen Devices during 2019-20 in Primary &amp; Upper Primary Schools</t>
  </si>
  <si>
    <t>Table: AT-28 B</t>
  </si>
  <si>
    <t>Table: AT-28 B: Repair of kitchen cum stores constructed ten years ago</t>
  </si>
  <si>
    <t>No. of Kitchens constructed prior to FY 2008-09</t>
  </si>
  <si>
    <t>No. of Kitchens constructed prior to 2008-09 and require repairs</t>
  </si>
  <si>
    <t>Requirement of funds (Rs in lakh)</t>
  </si>
  <si>
    <t>Centre share</t>
  </si>
  <si>
    <t>State share</t>
  </si>
  <si>
    <t>Table: AT-29A</t>
  </si>
  <si>
    <t>Table: AT-29 A : Replacement of Kitchen Devices during 2019-20 in Primary &amp; Upper Primary Schools</t>
  </si>
  <si>
    <t xml:space="preserve">Enrolment range 01-50 </t>
  </si>
  <si>
    <t xml:space="preserve">Enrolment range 51-150 </t>
  </si>
  <si>
    <t xml:space="preserve">Enrolment range 151-250 </t>
  </si>
  <si>
    <t xml:space="preserve">Enrolment range 251 &amp; Above </t>
  </si>
  <si>
    <t>No. of schools</t>
  </si>
  <si>
    <t>Central share</t>
  </si>
  <si>
    <t>Performance during                 2018-19</t>
  </si>
  <si>
    <t>Table: AT-1: GENERAL INFORMATION for 2018-19</t>
  </si>
  <si>
    <t>Table: AT-2 :  Details of  Provisions  in the State Budget 2018-19</t>
  </si>
  <si>
    <t>Table AT-3: No. of Institutions in the State vis a vis Institutions serving MDM during 2018-19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</si>
  <si>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</si>
  <si>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</si>
  <si>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</si>
  <si>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</si>
  <si>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Table: AT-4A: Enrolment vis-a-vis availed for MDM  (Upper Primary, Classes VI - VIII) during 2018-19</t>
  </si>
  <si>
    <t>Table: AT-5:  PAB-MDM Approval vs. PERFORMANCE (Primary, Classes I - V) during 2018-19</t>
  </si>
  <si>
    <t>MDM-PAB Approval for 2018-19</t>
  </si>
  <si>
    <t>Table: AT-5 A:  PAB-MDM Approval vs. PERFORMANCE (Upper Primary, Classes VI to VIII) during 2018-19</t>
  </si>
  <si>
    <t>Table: AT-5 B:  PAB-MDM Approval vs. PERFORMANCE-STC(NCLP Schools) during 2018-19</t>
  </si>
  <si>
    <t>Table: AT-5 C:  PAB-MDM Approval vs. PERFORMANCE (Primary, Classes I - V) during 2018-19 - Drought</t>
  </si>
  <si>
    <t>Table: AT-5 D:  PAB-MDM Approval vs. PERFORMANCE (Upper Primary, Classes VI to VIII) during 2018-19 - Drought</t>
  </si>
  <si>
    <t>Gross Allocation for the  FY 2018-19</t>
  </si>
  <si>
    <t>Table: AT-6B: PAYMENT OF COST OF FOOD GRAINS TO FCI (Primary and Upper Primary Classes I-VIII) during 2018-19</t>
  </si>
  <si>
    <t>Allocation for cost of foodgrains for 2018-19</t>
  </si>
  <si>
    <t>Table: AT-6C: Utilisation of foodgrains-Coarse Grain during 2018-19</t>
  </si>
  <si>
    <t xml:space="preserve">Allocation for 2018-19                                     </t>
  </si>
  <si>
    <t xml:space="preserve">Allocation for 2018-19   </t>
  </si>
  <si>
    <t>Allocation for FY 2018-19</t>
  </si>
  <si>
    <t>Table: AT-9 : Utilisation of Central Assitance towards Transportation Assistance (Primary &amp; Upper Primary,Classes I-VIII) during 2018-19</t>
  </si>
  <si>
    <t>Table: AT-10 :  Utilisation of Central Assistance towards MME  (Primary &amp; Upper Primary,Classes I-VIII) during 2018-19</t>
  </si>
  <si>
    <t>Allocation for  2018-19</t>
  </si>
  <si>
    <t>Table: AT-10 A : Details of Meetings at district level during 2018-19</t>
  </si>
  <si>
    <t xml:space="preserve">Table AT - 10 B : Details of Social Audit during 2018-19 </t>
  </si>
  <si>
    <t>*Total sanctioned during 2006-07  to 2018-19</t>
  </si>
  <si>
    <t>*Total sanction during 2006-07 to 2018-19</t>
  </si>
  <si>
    <t>*Total Sanction during 2012-13 to 2018-19</t>
  </si>
  <si>
    <t>Table: AT-17 : Coverage under Rashtriya Bal Swasthya Karykram (School Health Programme) - 2018-19</t>
  </si>
  <si>
    <t>Table: AT- 23: Annual and  Monthly Data Entry Status in MDM-MIS : 2018-19</t>
  </si>
  <si>
    <t>Table AT - 23 A- Implementation of Automated Monitoring System  during 2018-19</t>
  </si>
  <si>
    <t xml:space="preserve">Kitchen-cum-store sanctioned during 2006-07 to 2018-19 </t>
  </si>
  <si>
    <t>Engaged in 2018-19</t>
  </si>
  <si>
    <t>2019-20</t>
  </si>
  <si>
    <t>LPG</t>
  </si>
  <si>
    <t>Budget Released till 31.03.2019</t>
  </si>
  <si>
    <t>(For the Period 01.04.18 to 31.03.19)</t>
  </si>
  <si>
    <t>During 01.04.18 to 31.03.19</t>
  </si>
  <si>
    <t xml:space="preserve">No. of working days (During 01.04.18 to 31.03.19)                  </t>
  </si>
  <si>
    <t xml:space="preserve">During 01.04.18 to 31.03.2019 </t>
  </si>
  <si>
    <t>Enrolment (As on 30.09.2018)</t>
  </si>
  <si>
    <t>Total Enrolment (As on 30.09.2018)</t>
  </si>
  <si>
    <t>Opening Balance as on 01.04.18</t>
  </si>
  <si>
    <t xml:space="preserve">Opening Balance as on 01.04.2018                                                    </t>
  </si>
  <si>
    <t>Total Unspent Balance as on 31.03.2019</t>
  </si>
  <si>
    <t>Opening Balance as on 01.04.2018</t>
  </si>
  <si>
    <t xml:space="preserve">Total Unspent Balance as on     31.03.2019                                              </t>
  </si>
  <si>
    <t>Table AT - 8 :UTILIZATION OF CENTRAL ASSISTANCE TOWARDS HONORARIUM TO COOK-CUM-HELPERS (Primary classes I-V) during 2018-19</t>
  </si>
  <si>
    <t>Unspent Balance as on 31.03.2019</t>
  </si>
  <si>
    <t>Table AT - 8A : UTILIZATION OF CENTRAL ASSISTANCE TOWARDS HONORARIUM TO COOK-CUM-HELPERS (Upper Primary classes VI-VIII) during 2018-19</t>
  </si>
  <si>
    <t xml:space="preserve">Unspent Balance as on 31.03.2019                              [Col. 4+ Col.5+Col.6 -Col.8]   </t>
  </si>
  <si>
    <t>Unspent balance as on 31.03.2019               [Col: (4+5)-7]</t>
  </si>
  <si>
    <t>Contractual worker</t>
  </si>
  <si>
    <t>No. of institutions where setting up of kitchen garden is proposed during 2019-20</t>
  </si>
  <si>
    <t>(As on 31st March, 2019)</t>
  </si>
  <si>
    <t>As on 31st March, 2019</t>
  </si>
  <si>
    <t xml:space="preserve">No. of schools covered  </t>
  </si>
  <si>
    <t xml:space="preserve">No. of children covered </t>
  </si>
  <si>
    <t>No. of children identified with refractive errors</t>
  </si>
  <si>
    <t>No. of children provided with spectrales</t>
  </si>
  <si>
    <t>Apr, 2018</t>
  </si>
  <si>
    <t>Dec, 2018</t>
  </si>
  <si>
    <t>Jan, 2019</t>
  </si>
  <si>
    <t>Feb, 2019</t>
  </si>
  <si>
    <t>Mar, 2019</t>
  </si>
  <si>
    <t>Mode of data collection (SMS/ IVRS/ Mobile App/ Web Application/ Others)</t>
  </si>
  <si>
    <t>Name of Agency implementing AMS in State/UT</t>
  </si>
  <si>
    <t>Proposals for                   2019-20</t>
  </si>
  <si>
    <t>Table: AT-26 : Number of School Working Days (Primary,Classes I-V) for 2019-20</t>
  </si>
  <si>
    <t>Table: AT-26A : Number of School Working Days (Upper Primary,Classes VI-VIII) for 2019-20</t>
  </si>
  <si>
    <t>Table: AT-27: Proposal for coverage of children and working days  for 2019-20  (Primary Classes, I-V)</t>
  </si>
  <si>
    <t>Table: AT-27 A: Proposal for coverage of children and working days  for 2019-20  (Upper Primary,Classes VI-VIII)</t>
  </si>
  <si>
    <t>Table: AT-27B: Proposal for coverage of children  for NCLP Schools during 2019-20</t>
  </si>
  <si>
    <t>Table: AT-27C: Proposal for coverage of children and working days  for Primary (Classes I - V) in Drought affected areas during 2019-20</t>
  </si>
  <si>
    <t>Table: AT-27 D: Proposal for coverage of children and working days  for Upper Primary (Classes VI - VIII) in Drought affected areas during 2019-20</t>
  </si>
  <si>
    <t>Table: AT-28: Requirement of kitchen-cum-stores in the Primary and Upper Primary schools for the year 2019-20</t>
  </si>
  <si>
    <t>Table: AT-28 A: Requirement of kitchen cum stores as per Plinth Area Norm in the Primary and Upper Primary schools for the year 2019-20</t>
  </si>
  <si>
    <t>Table: AT 30:  Requirement of Cook cum Helpers for 2019-20</t>
  </si>
  <si>
    <t>Table: AT-31 : Budget Provision for the Year 2019-20</t>
  </si>
  <si>
    <t>Requirement of funds for Transportation Assistance</t>
  </si>
  <si>
    <t>PDS rate (Rs per Quintal)</t>
  </si>
  <si>
    <t>Total Funds required (Rs in lakh)</t>
  </si>
  <si>
    <t>State : Tripura</t>
  </si>
  <si>
    <t>Seal :</t>
  </si>
  <si>
    <t>Action Taken report on PAB: 2018-19 recommendations</t>
  </si>
  <si>
    <t xml:space="preserve">The amount of Rs.5339.03 lakhs (Central Share) including the unspent balance of Rs.133.15 lakhs. </t>
  </si>
  <si>
    <t>Table: AT-2A : Releasing of Funds from State to Directorate / Authority / District / Block / School level for 2018-19</t>
  </si>
  <si>
    <t>27/04/2018</t>
  </si>
  <si>
    <t>12/09/2018</t>
  </si>
  <si>
    <t>27/12/2018</t>
  </si>
  <si>
    <t>02/06/2018</t>
  </si>
  <si>
    <t>04/10/2018</t>
  </si>
  <si>
    <t>25/01/2019</t>
  </si>
  <si>
    <t>06/06/2018</t>
  </si>
  <si>
    <t>09/10/2018</t>
  </si>
  <si>
    <t>29/01/2019</t>
  </si>
  <si>
    <t>08/06/2018</t>
  </si>
  <si>
    <t>12/10/2018</t>
  </si>
  <si>
    <t>02/02/2019</t>
  </si>
  <si>
    <t>*This information will be used for computing Performance Grading Index (PGI) also.</t>
  </si>
  <si>
    <t>Average No. of children availed MDM [Col. 8/Col. 9] *</t>
  </si>
  <si>
    <t>Table: AT-6A: Utilisation of foodgrains  (Upper Primary, Classes VI-VIII) during 2018-19</t>
  </si>
  <si>
    <t>Table: AT-6: Utilisation of foodgrains  (Primary, Classes I-V) during 2018-19</t>
  </si>
  <si>
    <t>Table: AT-7: Utilisation of Cooking Cost (Primary, Classes I-V) during 2018-19</t>
  </si>
  <si>
    <t>Table: AT-7A: Utilisation of Cooking cost (Upper Primary Classes, VI-VIII) for 2018-19</t>
  </si>
  <si>
    <t>2017-18</t>
  </si>
  <si>
    <t>Honorarium to CCH          (Rs in Lakh)</t>
  </si>
  <si>
    <t>SMS</t>
  </si>
  <si>
    <t>requirement of funds                        (Rs in lakh)</t>
  </si>
  <si>
    <t>Table: AT-29 : Requirement of Kitchen Devices (New) during 2019-20 in Primary &amp; Upper Primary Schools</t>
  </si>
  <si>
    <t>Additional Secretary of the</t>
  </si>
  <si>
    <t>requirement of funds                (Rs in lakh)</t>
  </si>
  <si>
    <t>Table: AT-32:  PAB-MDM Approval vs. PERFORMANCE (Primary Classes I to V) during 2018-19 - Drought</t>
  </si>
  <si>
    <t>Table: AT-32 A:  PAB-MDM Approval vs. PERFORMANCE (Upper Primary, Classes VI to VIII) during 2018-19 - Drought</t>
  </si>
  <si>
    <t>Repair of kitchen-cum-stores</t>
  </si>
  <si>
    <t>Flexi fund @ 5% for new interventions</t>
  </si>
  <si>
    <t>Press Clipping</t>
  </si>
  <si>
    <t>Show cause notice issued and dropped with warning</t>
  </si>
  <si>
    <t>Dropped with warning</t>
  </si>
  <si>
    <t>Baseless &amp; Dropped</t>
  </si>
  <si>
    <t>File send for Departmental Procedure (DP)</t>
  </si>
  <si>
    <t>West Tripura</t>
  </si>
  <si>
    <t>Written</t>
  </si>
  <si>
    <t>One in under Process and one is  Baseless &amp; Dropped</t>
  </si>
  <si>
    <t>Sepahijala</t>
  </si>
  <si>
    <t>Under Process</t>
  </si>
  <si>
    <t>Show cause notice and Order isuued</t>
  </si>
  <si>
    <t>Dropped with Warning</t>
  </si>
  <si>
    <t>Apr, 18 and Jun, 18</t>
  </si>
  <si>
    <t>Waiting for completion of investigation by the Officer-in-Charge of Champaknagar Outpost.</t>
  </si>
  <si>
    <t>Waiting for completion of investigation by the Officer-in-Charge of Kalyanpur PS.</t>
  </si>
  <si>
    <t>Principal Officer (TTAADC)</t>
  </si>
  <si>
    <t>Teliphonic</t>
  </si>
  <si>
    <t xml:space="preserve">Nil </t>
  </si>
  <si>
    <t xml:space="preserve">The amount of Rs.1619.47 lakhs (State Share) including the unspent balance of Rs.16.49 lakhs. </t>
  </si>
  <si>
    <t>18/07/2018</t>
  </si>
  <si>
    <t>Rate of Transportation Assistance                             (Per MT)  (in Rs.)</t>
  </si>
  <si>
    <t>1. Master trainer from Akshaya Patra Foundation 2014-15.</t>
  </si>
  <si>
    <t>2. Resource person (Nutrition Science) from Local Degree College.</t>
  </si>
  <si>
    <t>3. Resource person from Fire Service Department, Govt. of Tripura.</t>
  </si>
  <si>
    <t>4. Resource person from Health &amp; Family Welfare, Govt. of Tripura.</t>
  </si>
  <si>
    <t xml:space="preserve">MICROBIOLIGY DEPARTMENT, AGARTALA GOVT. MEDICAL COLLEGE. </t>
  </si>
  <si>
    <t>No pathogenic organism grown in culture</t>
  </si>
  <si>
    <t>NIC, HP</t>
  </si>
  <si>
    <t>Pulses (Dal)</t>
  </si>
  <si>
    <t>20  gms</t>
  </si>
  <si>
    <t>30  gms</t>
  </si>
  <si>
    <t>50 grms</t>
  </si>
  <si>
    <t>Eggs</t>
  </si>
  <si>
    <t>2 (per week)</t>
  </si>
  <si>
    <t>1st  April, 2018</t>
  </si>
  <si>
    <t>NB 1:</t>
  </si>
  <si>
    <t>NB 2:</t>
  </si>
  <si>
    <t>relecesed Rs.327.66 lakhs upto 31st March, 2019.</t>
  </si>
  <si>
    <t xml:space="preserve">An amount of Rs.496.72 lakhs has been sanctioned by the State Govt. for Installation of LPG cookong system in 1967 school units along with reccuring reffiling costs of cylenders in 3678 schools. But the State has released </t>
  </si>
  <si>
    <t>Every school have been visited several time by the Officers of State, Distrct, Block  level. Total number of Inspection is 16728.</t>
  </si>
  <si>
    <t>Not applicable</t>
  </si>
  <si>
    <t>An amount of Rs.99.95 lakhs has been approved by the PAB 2018-19, but the fund not been released yet.</t>
  </si>
  <si>
    <t xml:space="preserve">As such contribution by community in the form of Tithi Bhojan has not been started in the State but the local guardians sometimes contributed vegetable, meat etc. </t>
  </si>
  <si>
    <t xml:space="preserve">for Mid-Day-Meal Programme on special occasions. </t>
  </si>
  <si>
    <t>Issues:</t>
  </si>
  <si>
    <t>Most of the HM/TICs did not receive the feedback message / confirmation from the AMS server after sending the SMS report.</t>
  </si>
  <si>
    <t>After verification it has been revealed that the HM / TIC of some schools have reported on daily basis more than once than the message is received by the server.</t>
  </si>
  <si>
    <t xml:space="preserve">Sometimes, the server is not receiving the SMS report even after sending it properly by the respective HMs / TICs. For example, some schools are sending </t>
  </si>
  <si>
    <t>messages regularly but these are not being updated at the state / District level (AMS portal).</t>
  </si>
  <si>
    <t xml:space="preserve">            </t>
  </si>
  <si>
    <t xml:space="preserve">NB: Fund has been received in respect of replacement of Kitchen Devices against 298 schools instead of 330. During the year 2019-20, it was included in the budget to provide fund for replacement of kitchen Divices for rest of 32 school units.  </t>
  </si>
  <si>
    <t xml:space="preserve">  </t>
  </si>
  <si>
    <t>Annexure D</t>
  </si>
  <si>
    <t>Proposal for Flexi Fund</t>
  </si>
  <si>
    <t>Annexure F</t>
  </si>
  <si>
    <t>SOR for repairing of Kitchen cum store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</si>
</sst>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
    <numFmt numFmtId="169" formatCode="0.0000000"/>
    <numFmt numFmtId="170" formatCode="0.000000"/>
  </numFmts>
  <fonts count="130">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16"/>
      <name val="Arial"/>
      <family val="2"/>
    </font>
    <font>
      <b/>
      <sz val="9"/>
      <name val="Arial"/>
      <family val="2"/>
    </font>
    <font>
      <b/>
      <sz val="8"/>
      <name val="Arial"/>
      <family val="2"/>
    </font>
    <font>
      <b/>
      <sz val="18"/>
      <name val="Arial"/>
      <family val="2"/>
    </font>
    <font>
      <sz val="9"/>
      <name val="Arial"/>
      <family val="2"/>
    </font>
    <font>
      <sz val="9"/>
      <name val="Trebuchet MS"/>
      <family val="2"/>
    </font>
    <font>
      <u val="single"/>
      <sz val="10"/>
      <name val="Arial"/>
      <family val="2"/>
    </font>
    <font>
      <sz val="48"/>
      <name val="Algerian"/>
      <family val="5"/>
    </font>
    <font>
      <b/>
      <sz val="14"/>
      <color indexed="8"/>
      <name val="Arial"/>
      <family val="2"/>
    </font>
    <font>
      <b/>
      <sz val="9"/>
      <name val="Trebuchet MS"/>
      <family val="2"/>
    </font>
    <font>
      <i/>
      <sz val="10"/>
      <name val="Trebuchet MS"/>
      <family val="2"/>
    </font>
    <font>
      <b/>
      <sz val="24"/>
      <name val="Arial"/>
      <family val="2"/>
    </font>
    <font>
      <b/>
      <sz val="54"/>
      <name val="Calibri"/>
      <family val="0"/>
    </font>
    <font>
      <b/>
      <sz val="44"/>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b/>
      <sz val="16"/>
      <color indexed="8"/>
      <name val="Calibri"/>
      <family val="2"/>
    </font>
    <font>
      <b/>
      <i/>
      <sz val="10"/>
      <color indexed="8"/>
      <name val="Cambria"/>
      <family val="1"/>
    </font>
    <font>
      <sz val="10"/>
      <color indexed="8"/>
      <name val="Cambria"/>
      <family val="1"/>
    </font>
    <font>
      <b/>
      <i/>
      <sz val="10"/>
      <color indexed="8"/>
      <name val="Calibri"/>
      <family val="2"/>
    </font>
    <font>
      <sz val="10"/>
      <color indexed="10"/>
      <name val="Arial"/>
      <family val="2"/>
    </font>
    <font>
      <b/>
      <sz val="12"/>
      <color indexed="10"/>
      <name val="Arial"/>
      <family val="2"/>
    </font>
    <font>
      <b/>
      <sz val="14"/>
      <color indexed="8"/>
      <name val="Calibri"/>
      <family val="2"/>
    </font>
    <font>
      <b/>
      <sz val="11"/>
      <color indexed="8"/>
      <name val="Cambria"/>
      <family val="1"/>
    </font>
    <font>
      <sz val="10"/>
      <name val="Calibri"/>
      <family val="2"/>
    </font>
    <font>
      <b/>
      <sz val="12"/>
      <color indexed="8"/>
      <name val="Calibri"/>
      <family val="2"/>
    </font>
    <font>
      <b/>
      <i/>
      <sz val="12"/>
      <color indexed="8"/>
      <name val="Calibri"/>
      <family val="2"/>
    </font>
    <font>
      <b/>
      <sz val="8"/>
      <color indexed="8"/>
      <name val="Arial"/>
      <family val="2"/>
    </font>
    <font>
      <b/>
      <sz val="12"/>
      <color indexed="8"/>
      <name val="Cambria"/>
      <family val="1"/>
    </font>
    <font>
      <sz val="10"/>
      <color indexed="8"/>
      <name val="Arial"/>
      <family val="2"/>
    </font>
    <font>
      <b/>
      <sz val="10"/>
      <color indexed="8"/>
      <name val="Arial Black"/>
      <family val="2"/>
    </font>
    <font>
      <b/>
      <sz val="10"/>
      <color indexed="10"/>
      <name val="Calibri"/>
      <family val="2"/>
    </font>
    <font>
      <b/>
      <sz val="10"/>
      <color indexed="8"/>
      <name val="Cambria"/>
      <family val="1"/>
    </font>
    <font>
      <b/>
      <sz val="18"/>
      <color indexed="8"/>
      <name val="Cambria"/>
      <family val="1"/>
    </font>
    <font>
      <b/>
      <sz val="2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9"/>
      <color theme="1"/>
      <name val="Calibri"/>
      <family val="2"/>
    </font>
    <font>
      <b/>
      <sz val="16"/>
      <color theme="1"/>
      <name val="Calibri"/>
      <family val="2"/>
    </font>
    <font>
      <b/>
      <i/>
      <sz val="10"/>
      <color theme="1"/>
      <name val="Cambria"/>
      <family val="1"/>
    </font>
    <font>
      <sz val="10"/>
      <color theme="1"/>
      <name val="Cambria"/>
      <family val="1"/>
    </font>
    <font>
      <b/>
      <i/>
      <sz val="10"/>
      <color theme="1"/>
      <name val="Calibri"/>
      <family val="2"/>
    </font>
    <font>
      <b/>
      <sz val="10"/>
      <color theme="1"/>
      <name val="Calibri"/>
      <family val="2"/>
    </font>
    <font>
      <sz val="10"/>
      <color rgb="FFFF0000"/>
      <name val="Arial"/>
      <family val="2"/>
    </font>
    <font>
      <b/>
      <sz val="12"/>
      <color rgb="FFFF0000"/>
      <name val="Arial"/>
      <family val="2"/>
    </font>
    <font>
      <b/>
      <sz val="14"/>
      <color theme="1"/>
      <name val="Calibri"/>
      <family val="2"/>
    </font>
    <font>
      <b/>
      <sz val="10"/>
      <color rgb="FFFF0000"/>
      <name val="Arial"/>
      <family val="2"/>
    </font>
    <font>
      <b/>
      <sz val="11"/>
      <color theme="1"/>
      <name val="Cambria"/>
      <family val="1"/>
    </font>
    <font>
      <b/>
      <sz val="12"/>
      <color theme="1"/>
      <name val="Calibri"/>
      <family val="2"/>
    </font>
    <font>
      <b/>
      <sz val="8"/>
      <color rgb="FFFF0000"/>
      <name val="Arial"/>
      <family val="2"/>
    </font>
    <font>
      <b/>
      <i/>
      <sz val="12"/>
      <color theme="1"/>
      <name val="Calibri"/>
      <family val="2"/>
    </font>
    <font>
      <b/>
      <sz val="8"/>
      <color theme="1"/>
      <name val="Arial"/>
      <family val="2"/>
    </font>
    <font>
      <b/>
      <sz val="12"/>
      <color theme="1"/>
      <name val="Cambria"/>
      <family val="1"/>
    </font>
    <font>
      <sz val="10"/>
      <color theme="1"/>
      <name val="Arial"/>
      <family val="2"/>
    </font>
    <font>
      <b/>
      <sz val="10"/>
      <color theme="1"/>
      <name val="Arial Black"/>
      <family val="2"/>
    </font>
    <font>
      <b/>
      <sz val="10"/>
      <color rgb="FFFF0000"/>
      <name val="Calibri"/>
      <family val="2"/>
    </font>
    <font>
      <b/>
      <sz val="10"/>
      <color theme="1"/>
      <name val="Arial"/>
      <family val="2"/>
    </font>
    <font>
      <b/>
      <sz val="18"/>
      <color theme="1"/>
      <name val="Cambria"/>
      <family val="1"/>
    </font>
    <font>
      <b/>
      <sz val="10"/>
      <color theme="1"/>
      <name val="Cambria"/>
      <family val="1"/>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bottom style="thin"/>
    </border>
    <border>
      <left style="thin"/>
      <right/>
      <top/>
      <bottom style="thin"/>
    </border>
    <border>
      <left style="thin"/>
      <right style="thin"/>
      <top/>
      <bottom/>
    </border>
    <border>
      <left/>
      <right/>
      <top style="thin"/>
      <bottom style="thin"/>
    </border>
    <border>
      <left style="medium"/>
      <right style="thin"/>
      <top style="thin"/>
      <bottom/>
    </border>
    <border>
      <left style="thin"/>
      <right/>
      <top/>
      <bottom/>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right style="double"/>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89" fillId="0" borderId="0">
      <alignment/>
      <protection/>
    </xf>
    <xf numFmtId="0" fontId="89" fillId="0" borderId="0">
      <alignment/>
      <protection/>
    </xf>
    <xf numFmtId="0" fontId="8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085">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13"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0" fillId="0" borderId="14" xfId="0" applyFont="1" applyBorder="1" applyAlignment="1">
      <alignment/>
    </xf>
    <xf numFmtId="0" fontId="0"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2" fillId="0" borderId="16" xfId="0" applyFont="1" applyBorder="1" applyAlignment="1">
      <alignment vertical="top" wrapText="1"/>
    </xf>
    <xf numFmtId="0" fontId="0" fillId="0" borderId="0" xfId="0" applyFont="1" applyAlignment="1">
      <alignment vertical="top" wrapText="1"/>
    </xf>
    <xf numFmtId="0" fontId="2" fillId="0" borderId="16" xfId="0" applyFont="1" applyBorder="1" applyAlignment="1">
      <alignment/>
    </xf>
    <xf numFmtId="0" fontId="0" fillId="0" borderId="16" xfId="0" applyFont="1" applyBorder="1" applyAlignment="1">
      <alignment/>
    </xf>
    <xf numFmtId="0" fontId="0" fillId="0" borderId="16" xfId="0" applyFont="1" applyBorder="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0" fillId="0" borderId="17" xfId="0" applyFont="1" applyBorder="1" applyAlignment="1">
      <alignment/>
    </xf>
    <xf numFmtId="0" fontId="2" fillId="0" borderId="18" xfId="0" applyFont="1" applyBorder="1" applyAlignment="1">
      <alignment/>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xf>
    <xf numFmtId="0" fontId="12" fillId="0" borderId="11" xfId="0" applyFont="1" applyBorder="1" applyAlignment="1">
      <alignment horizontal="center"/>
    </xf>
    <xf numFmtId="0" fontId="14" fillId="0" borderId="0" xfId="0" applyFont="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9" fillId="0" borderId="11" xfId="0" applyFont="1" applyBorder="1" applyAlignment="1">
      <alignment horizontal="center" vertical="top" wrapText="1"/>
    </xf>
    <xf numFmtId="0" fontId="9" fillId="0" borderId="0" xfId="0" applyFont="1" applyAlignment="1">
      <alignment/>
    </xf>
    <xf numFmtId="0" fontId="16" fillId="0" borderId="11" xfId="0" applyFont="1" applyBorder="1" applyAlignment="1">
      <alignment horizontal="center" vertical="top" wrapText="1"/>
    </xf>
    <xf numFmtId="0" fontId="16" fillId="0" borderId="11" xfId="0" applyFont="1" applyBorder="1" applyAlignment="1">
      <alignment horizontal="center" vertical="top"/>
    </xf>
    <xf numFmtId="0" fontId="2" fillId="0" borderId="11" xfId="0" applyFont="1" applyBorder="1" applyAlignment="1">
      <alignment horizontal="center" vertical="top"/>
    </xf>
    <xf numFmtId="0" fontId="16" fillId="0" borderId="0" xfId="0" applyFont="1" applyAlignment="1">
      <alignment/>
    </xf>
    <xf numFmtId="0" fontId="0" fillId="0" borderId="14" xfId="0" applyBorder="1" applyAlignment="1">
      <alignment/>
    </xf>
    <xf numFmtId="0" fontId="16" fillId="0" borderId="11" xfId="0" applyFont="1" applyBorder="1" applyAlignment="1" quotePrefix="1">
      <alignment horizontal="center" vertical="top" wrapText="1"/>
    </xf>
    <xf numFmtId="0" fontId="14" fillId="0" borderId="11" xfId="0" applyFont="1" applyBorder="1" applyAlignment="1">
      <alignment horizontal="center" wrapText="1"/>
    </xf>
    <xf numFmtId="0" fontId="0" fillId="0" borderId="0" xfId="0" applyFont="1" applyBorder="1" applyAlignment="1" quotePrefix="1">
      <alignment horizontal="center"/>
    </xf>
    <xf numFmtId="0" fontId="18" fillId="0" borderId="0" xfId="55" applyFont="1">
      <alignment/>
      <protection/>
    </xf>
    <xf numFmtId="0" fontId="19" fillId="0" borderId="11" xfId="55" applyFont="1" applyBorder="1" applyAlignment="1">
      <alignment horizontal="center" vertical="top" wrapText="1"/>
      <protection/>
    </xf>
    <xf numFmtId="0" fontId="89" fillId="0" borderId="0" xfId="55">
      <alignment/>
      <protection/>
    </xf>
    <xf numFmtId="0" fontId="89" fillId="0" borderId="0" xfId="55" applyAlignment="1">
      <alignment horizontal="left"/>
      <protection/>
    </xf>
    <xf numFmtId="0" fontId="20" fillId="0" borderId="0" xfId="55" applyFont="1" applyAlignment="1">
      <alignment horizontal="left"/>
      <protection/>
    </xf>
    <xf numFmtId="0" fontId="89" fillId="0" borderId="19" xfId="55" applyBorder="1" applyAlignment="1">
      <alignment horizontal="center"/>
      <protection/>
    </xf>
    <xf numFmtId="0" fontId="17" fillId="0" borderId="0" xfId="55" applyFont="1" applyAlignment="1">
      <alignment horizontal="center"/>
      <protection/>
    </xf>
    <xf numFmtId="0" fontId="89" fillId="0" borderId="11" xfId="55" applyBorder="1">
      <alignment/>
      <protection/>
    </xf>
    <xf numFmtId="0" fontId="89" fillId="0" borderId="0" xfId="55" applyBorder="1">
      <alignment/>
      <protection/>
    </xf>
    <xf numFmtId="0" fontId="2" fillId="0" borderId="0" xfId="0" applyFont="1" applyAlignment="1">
      <alignment horizontal="left" vertical="top" wrapText="1"/>
    </xf>
    <xf numFmtId="0" fontId="2" fillId="0" borderId="0" xfId="0" applyFont="1" applyAlignment="1">
      <alignment vertical="top" wrapText="1"/>
    </xf>
    <xf numFmtId="0" fontId="21" fillId="0" borderId="12" xfId="55" applyFont="1" applyBorder="1" applyAlignment="1">
      <alignment horizontal="center" vertical="top" wrapText="1"/>
      <protection/>
    </xf>
    <xf numFmtId="0" fontId="21" fillId="0" borderId="11" xfId="55" applyFont="1" applyBorder="1" applyAlignment="1">
      <alignment horizontal="center" vertical="top" wrapText="1"/>
      <protection/>
    </xf>
    <xf numFmtId="0" fontId="0" fillId="0" borderId="0" xfId="58">
      <alignment/>
      <protection/>
    </xf>
    <xf numFmtId="0" fontId="11" fillId="0" borderId="0" xfId="58" applyFont="1" applyAlignment="1">
      <alignment horizontal="center"/>
      <protection/>
    </xf>
    <xf numFmtId="0" fontId="5" fillId="0" borderId="0" xfId="58" applyFont="1" applyAlignment="1">
      <alignment horizontal="center"/>
      <protection/>
    </xf>
    <xf numFmtId="0" fontId="4" fillId="0" borderId="0" xfId="58" applyFont="1">
      <alignment/>
      <protection/>
    </xf>
    <xf numFmtId="0" fontId="2" fillId="0" borderId="11" xfId="58" applyFont="1" applyBorder="1" applyAlignment="1">
      <alignment horizontal="center"/>
      <protection/>
    </xf>
    <xf numFmtId="0" fontId="2" fillId="0" borderId="11" xfId="58" applyFont="1" applyBorder="1" applyAlignment="1">
      <alignment horizontal="center" vertical="top" wrapText="1"/>
      <protection/>
    </xf>
    <xf numFmtId="0" fontId="2" fillId="0" borderId="13" xfId="58" applyFont="1" applyBorder="1" applyAlignment="1">
      <alignment horizontal="center" vertical="top" wrapText="1"/>
      <protection/>
    </xf>
    <xf numFmtId="0" fontId="2" fillId="0" borderId="14" xfId="58" applyFont="1" applyBorder="1" applyAlignment="1">
      <alignment horizontal="center" vertical="top" wrapText="1"/>
      <protection/>
    </xf>
    <xf numFmtId="0" fontId="0" fillId="0" borderId="11" xfId="58" applyBorder="1">
      <alignment/>
      <protection/>
    </xf>
    <xf numFmtId="0" fontId="0" fillId="0" borderId="13" xfId="58" applyBorder="1">
      <alignment/>
      <protection/>
    </xf>
    <xf numFmtId="0" fontId="0" fillId="0" borderId="0" xfId="58" applyFill="1" applyBorder="1" applyAlignment="1">
      <alignment horizontal="left"/>
      <protection/>
    </xf>
    <xf numFmtId="0" fontId="6" fillId="0" borderId="0" xfId="58" applyFont="1">
      <alignment/>
      <protection/>
    </xf>
    <xf numFmtId="0" fontId="2" fillId="0" borderId="0" xfId="58" applyFont="1">
      <alignment/>
      <protection/>
    </xf>
    <xf numFmtId="0" fontId="3" fillId="0" borderId="0" xfId="58" applyFont="1" applyAlignment="1">
      <alignment/>
      <protection/>
    </xf>
    <xf numFmtId="0" fontId="16" fillId="0" borderId="19" xfId="0" applyFont="1" applyBorder="1" applyAlignment="1">
      <alignment/>
    </xf>
    <xf numFmtId="0" fontId="2" fillId="0" borderId="15" xfId="0" applyFont="1" applyBorder="1" applyAlignment="1">
      <alignment horizontal="center" vertical="top" wrapText="1"/>
    </xf>
    <xf numFmtId="0" fontId="0" fillId="0" borderId="0" xfId="0" applyAlignment="1">
      <alignment horizontal="left"/>
    </xf>
    <xf numFmtId="0" fontId="0" fillId="0" borderId="20" xfId="0" applyFont="1" applyBorder="1" applyAlignment="1">
      <alignment/>
    </xf>
    <xf numFmtId="0" fontId="0" fillId="0" borderId="11" xfId="0" applyFont="1" applyBorder="1" applyAlignment="1">
      <alignment horizontal="center" vertical="center" wrapText="1"/>
    </xf>
    <xf numFmtId="0" fontId="6" fillId="0" borderId="0" xfId="0" applyFont="1" applyAlignment="1">
      <alignment/>
    </xf>
    <xf numFmtId="0" fontId="18" fillId="0" borderId="11" xfId="55" applyFont="1" applyBorder="1">
      <alignment/>
      <protection/>
    </xf>
    <xf numFmtId="0" fontId="18" fillId="0" borderId="11" xfId="55" applyFont="1" applyBorder="1" applyAlignment="1">
      <alignment wrapText="1"/>
      <protection/>
    </xf>
    <xf numFmtId="0" fontId="18" fillId="0" borderId="0" xfId="55" applyFont="1" applyBorder="1">
      <alignment/>
      <protection/>
    </xf>
    <xf numFmtId="0" fontId="2" fillId="0" borderId="21" xfId="0" applyFont="1" applyFill="1" applyBorder="1" applyAlignment="1">
      <alignment horizontal="center" vertical="top" wrapText="1"/>
    </xf>
    <xf numFmtId="0" fontId="16" fillId="0" borderId="0" xfId="0" applyFont="1" applyBorder="1" applyAlignment="1">
      <alignment/>
    </xf>
    <xf numFmtId="0" fontId="9" fillId="0" borderId="0" xfId="0" applyFont="1" applyBorder="1" applyAlignment="1">
      <alignment/>
    </xf>
    <xf numFmtId="0" fontId="23" fillId="0" borderId="0" xfId="55" applyFont="1">
      <alignment/>
      <protection/>
    </xf>
    <xf numFmtId="0" fontId="1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6" fillId="0" borderId="0" xfId="0" applyFont="1" applyBorder="1" applyAlignment="1">
      <alignment/>
    </xf>
    <xf numFmtId="0" fontId="6" fillId="0" borderId="11" xfId="0" applyFont="1" applyBorder="1" applyAlignment="1">
      <alignment/>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9" xfId="0" applyFont="1" applyBorder="1" applyAlignment="1">
      <alignment horizontal="center"/>
    </xf>
    <xf numFmtId="0" fontId="6" fillId="0" borderId="0" xfId="58" applyFont="1" applyAlignment="1">
      <alignment horizontal="center"/>
      <protection/>
    </xf>
    <xf numFmtId="0" fontId="17" fillId="0" borderId="11" xfId="55" applyFont="1" applyBorder="1" applyAlignment="1">
      <alignment horizontal="center"/>
      <protection/>
    </xf>
    <xf numFmtId="0" fontId="10" fillId="0" borderId="0" xfId="58" applyFont="1" applyAlignment="1">
      <alignment/>
      <protection/>
    </xf>
    <xf numFmtId="0" fontId="16" fillId="0" borderId="0" xfId="0" applyFont="1" applyBorder="1" applyAlignment="1">
      <alignment horizontal="center"/>
    </xf>
    <xf numFmtId="0" fontId="6" fillId="0" borderId="19" xfId="0" applyFont="1" applyBorder="1" applyAlignment="1">
      <alignment/>
    </xf>
    <xf numFmtId="0" fontId="0" fillId="0" borderId="0" xfId="58" applyAlignment="1">
      <alignment horizontal="left"/>
      <protection/>
    </xf>
    <xf numFmtId="0" fontId="6" fillId="0" borderId="0" xfId="58" applyFont="1" applyAlignment="1">
      <alignment vertical="top" wrapText="1"/>
      <protection/>
    </xf>
    <xf numFmtId="0" fontId="2" fillId="0" borderId="22" xfId="0" applyFont="1" applyBorder="1" applyAlignment="1">
      <alignment horizontal="center" vertical="top" wrapText="1"/>
    </xf>
    <xf numFmtId="0" fontId="0" fillId="0" borderId="0" xfId="55" applyFont="1">
      <alignment/>
      <protection/>
    </xf>
    <xf numFmtId="0" fontId="5" fillId="0" borderId="0" xfId="55" applyFont="1" applyAlignment="1">
      <alignment horizontal="center"/>
      <protection/>
    </xf>
    <xf numFmtId="0" fontId="0" fillId="0" borderId="11" xfId="55" applyFont="1" applyBorder="1">
      <alignment/>
      <protection/>
    </xf>
    <xf numFmtId="0" fontId="8" fillId="0" borderId="0" xfId="55" applyFont="1">
      <alignment/>
      <protection/>
    </xf>
    <xf numFmtId="0" fontId="2" fillId="0" borderId="11" xfId="55" applyFont="1" applyBorder="1">
      <alignment/>
      <protection/>
    </xf>
    <xf numFmtId="0" fontId="16" fillId="0" borderId="11" xfId="55" applyFont="1" applyBorder="1" applyAlignment="1">
      <alignment horizontal="center"/>
      <protection/>
    </xf>
    <xf numFmtId="0" fontId="16" fillId="0" borderId="11" xfId="0" applyFont="1" applyBorder="1" applyAlignment="1">
      <alignment horizontal="center"/>
    </xf>
    <xf numFmtId="0" fontId="24" fillId="0" borderId="11" xfId="0" applyFont="1" applyBorder="1" applyAlignment="1">
      <alignment horizontal="center" vertical="top" wrapText="1"/>
    </xf>
    <xf numFmtId="0" fontId="25" fillId="0" borderId="0" xfId="0" applyFont="1" applyAlignment="1">
      <alignment vertical="top" wrapText="1"/>
    </xf>
    <xf numFmtId="0" fontId="0" fillId="0" borderId="11" xfId="0" applyFont="1" applyBorder="1" applyAlignment="1">
      <alignment wrapText="1"/>
    </xf>
    <xf numFmtId="0" fontId="26" fillId="0" borderId="12" xfId="55" applyFont="1" applyBorder="1" applyAlignment="1">
      <alignment horizontal="center" vertical="top" wrapText="1"/>
      <protection/>
    </xf>
    <xf numFmtId="0" fontId="23" fillId="0" borderId="0" xfId="55" applyFont="1" applyAlignment="1">
      <alignment horizontal="center"/>
      <protection/>
    </xf>
    <xf numFmtId="0" fontId="27" fillId="0" borderId="21" xfId="55" applyFont="1" applyBorder="1" applyAlignment="1">
      <alignment horizontal="center" wrapText="1"/>
      <protection/>
    </xf>
    <xf numFmtId="0" fontId="27" fillId="0" borderId="10" xfId="55" applyFont="1" applyBorder="1" applyAlignment="1">
      <alignment horizontal="center"/>
      <protection/>
    </xf>
    <xf numFmtId="0" fontId="0" fillId="0" borderId="14" xfId="58" applyBorder="1">
      <alignment/>
      <protection/>
    </xf>
    <xf numFmtId="0" fontId="0" fillId="0" borderId="11" xfId="0" applyFont="1" applyBorder="1" applyAlignment="1">
      <alignment horizontal="center" vertical="center"/>
    </xf>
    <xf numFmtId="0" fontId="2" fillId="0" borderId="0" xfId="0" applyFont="1" applyBorder="1" applyAlignment="1">
      <alignment/>
    </xf>
    <xf numFmtId="0" fontId="2" fillId="0" borderId="23" xfId="0" applyFont="1" applyBorder="1" applyAlignment="1">
      <alignment vertical="top" wrapText="1"/>
    </xf>
    <xf numFmtId="0" fontId="0" fillId="0" borderId="0" xfId="0" applyAlignment="1">
      <alignment horizontal="center"/>
    </xf>
    <xf numFmtId="0" fontId="6" fillId="0" borderId="0" xfId="0" applyFont="1" applyBorder="1" applyAlignment="1">
      <alignment/>
    </xf>
    <xf numFmtId="0" fontId="14" fillId="0" borderId="0" xfId="0" applyFont="1" applyAlignment="1">
      <alignment horizontal="center"/>
    </xf>
    <xf numFmtId="0" fontId="29" fillId="0" borderId="0" xfId="55" applyFont="1" applyAlignment="1">
      <alignment horizontal="center"/>
      <protection/>
    </xf>
    <xf numFmtId="0" fontId="0" fillId="0" borderId="11" xfId="58" applyFont="1" applyBorder="1" applyAlignment="1">
      <alignment horizontal="center" vertical="top" wrapText="1"/>
      <protection/>
    </xf>
    <xf numFmtId="0" fontId="0" fillId="0" borderId="0" xfId="58" applyFont="1">
      <alignment/>
      <protection/>
    </xf>
    <xf numFmtId="0" fontId="2" fillId="0" borderId="11" xfId="55" applyFont="1" applyBorder="1" applyAlignment="1">
      <alignment horizontal="center"/>
      <protection/>
    </xf>
    <xf numFmtId="0" fontId="2" fillId="0" borderId="11" xfId="0" applyFont="1" applyBorder="1" applyAlignment="1">
      <alignment horizontal="center" vertical="center"/>
    </xf>
    <xf numFmtId="0" fontId="16" fillId="0" borderId="11" xfId="58" applyFont="1" applyBorder="1" applyAlignment="1">
      <alignment horizontal="center" wrapText="1"/>
      <protection/>
    </xf>
    <xf numFmtId="0" fontId="16" fillId="0" borderId="0" xfId="0" applyFont="1" applyAlignment="1">
      <alignment horizontal="center" vertical="top" wrapText="1"/>
    </xf>
    <xf numFmtId="0" fontId="2" fillId="0" borderId="11" xfId="58" applyFont="1" applyBorder="1" applyAlignment="1">
      <alignment horizontal="left" vertical="center" wrapText="1"/>
      <protection/>
    </xf>
    <xf numFmtId="0" fontId="2" fillId="0" borderId="11" xfId="58" applyFont="1" applyBorder="1" applyAlignment="1">
      <alignment horizontal="left" vertical="center"/>
      <protection/>
    </xf>
    <xf numFmtId="0" fontId="7" fillId="0" borderId="11" xfId="58" applyFont="1" applyBorder="1" applyAlignment="1">
      <alignment horizontal="left" vertical="center" wrapText="1"/>
      <protection/>
    </xf>
    <xf numFmtId="0" fontId="0" fillId="0" borderId="0" xfId="59">
      <alignment/>
      <protection/>
    </xf>
    <xf numFmtId="0" fontId="6" fillId="0" borderId="0" xfId="59" applyFont="1" applyAlignment="1">
      <alignment/>
      <protection/>
    </xf>
    <xf numFmtId="0" fontId="11" fillId="0" borderId="0" xfId="59" applyFont="1" applyAlignment="1">
      <alignment/>
      <protection/>
    </xf>
    <xf numFmtId="0" fontId="4" fillId="0" borderId="0" xfId="59" applyFont="1">
      <alignment/>
      <protection/>
    </xf>
    <xf numFmtId="0" fontId="16" fillId="0" borderId="11" xfId="59" applyFont="1" applyBorder="1" applyAlignment="1">
      <alignment horizontal="center" vertical="top" wrapText="1"/>
      <protection/>
    </xf>
    <xf numFmtId="0" fontId="2" fillId="0" borderId="0" xfId="59" applyFont="1">
      <alignment/>
      <protection/>
    </xf>
    <xf numFmtId="0" fontId="16" fillId="0" borderId="11" xfId="59" applyFont="1" applyBorder="1" applyAlignment="1">
      <alignment horizontal="center"/>
      <protection/>
    </xf>
    <xf numFmtId="0" fontId="2" fillId="0" borderId="11" xfId="59" applyFont="1" applyBorder="1">
      <alignment/>
      <protection/>
    </xf>
    <xf numFmtId="0" fontId="2" fillId="0" borderId="11" xfId="59" applyFont="1" applyBorder="1" applyAlignment="1">
      <alignment horizontal="center"/>
      <protection/>
    </xf>
    <xf numFmtId="0" fontId="0" fillId="0" borderId="0" xfId="59" applyAlignment="1">
      <alignment horizontal="left"/>
      <protection/>
    </xf>
    <xf numFmtId="0" fontId="6" fillId="0" borderId="0" xfId="59" applyFont="1">
      <alignment/>
      <protection/>
    </xf>
    <xf numFmtId="0" fontId="0" fillId="0" borderId="0" xfId="60">
      <alignment/>
      <protection/>
    </xf>
    <xf numFmtId="0" fontId="3" fillId="0" borderId="0" xfId="60" applyFont="1" applyAlignment="1">
      <alignment horizontal="right"/>
      <protection/>
    </xf>
    <xf numFmtId="0" fontId="4" fillId="0" borderId="0" xfId="60" applyFont="1" applyAlignment="1">
      <alignment horizontal="right"/>
      <protection/>
    </xf>
    <xf numFmtId="0" fontId="14" fillId="0" borderId="11" xfId="60" applyFont="1" applyBorder="1" applyAlignment="1">
      <alignment horizontal="center" vertical="top" wrapText="1"/>
      <protection/>
    </xf>
    <xf numFmtId="0" fontId="14" fillId="0" borderId="11" xfId="60" applyFont="1" applyBorder="1" applyAlignment="1">
      <alignment horizontal="center" vertical="center" wrapText="1"/>
      <protection/>
    </xf>
    <xf numFmtId="0" fontId="2" fillId="0" borderId="11" xfId="60" applyFont="1" applyBorder="1" applyAlignment="1">
      <alignment horizontal="center" vertical="center"/>
      <protection/>
    </xf>
    <xf numFmtId="0" fontId="106"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Border="1" applyAlignment="1">
      <alignment/>
    </xf>
    <xf numFmtId="0" fontId="35" fillId="0" borderId="11" xfId="0" applyFont="1" applyBorder="1" applyAlignment="1" quotePrefix="1">
      <alignment horizontal="center" vertical="top" wrapText="1"/>
    </xf>
    <xf numFmtId="0" fontId="0" fillId="33" borderId="11" xfId="0" applyFill="1" applyBorder="1" applyAlignment="1">
      <alignment/>
    </xf>
    <xf numFmtId="0" fontId="107" fillId="0" borderId="0" xfId="0" applyFont="1" applyAlignment="1">
      <alignment/>
    </xf>
    <xf numFmtId="0" fontId="2" fillId="0" borderId="0" xfId="55" applyFont="1">
      <alignment/>
      <protection/>
    </xf>
    <xf numFmtId="0" fontId="2" fillId="0" borderId="0" xfId="55" applyFont="1" applyAlignment="1">
      <alignment horizontal="center" vertical="top" wrapText="1"/>
      <protection/>
    </xf>
    <xf numFmtId="0" fontId="2" fillId="0" borderId="0" xfId="55" applyFont="1" applyAlignment="1">
      <alignment horizontal="center"/>
      <protection/>
    </xf>
    <xf numFmtId="0" fontId="6" fillId="0" borderId="0" xfId="55" applyFont="1">
      <alignment/>
      <protection/>
    </xf>
    <xf numFmtId="0" fontId="2" fillId="0" borderId="0" xfId="55" applyFont="1" applyAlignment="1">
      <alignment/>
      <protection/>
    </xf>
    <xf numFmtId="0" fontId="2" fillId="0" borderId="0" xfId="55" applyFont="1" applyBorder="1" applyAlignment="1">
      <alignment/>
      <protection/>
    </xf>
    <xf numFmtId="0" fontId="2" fillId="0" borderId="0" xfId="55" applyFont="1" applyBorder="1">
      <alignment/>
      <protection/>
    </xf>
    <xf numFmtId="0" fontId="2" fillId="0" borderId="0" xfId="55" applyFont="1" applyBorder="1" applyAlignment="1">
      <alignment horizontal="center" vertical="top" wrapText="1"/>
      <protection/>
    </xf>
    <xf numFmtId="0" fontId="14" fillId="0" borderId="0" xfId="55" applyFont="1" applyBorder="1" applyAlignment="1">
      <alignment horizontal="left"/>
      <protection/>
    </xf>
    <xf numFmtId="0" fontId="35" fillId="0" borderId="11" xfId="0" applyFont="1" applyBorder="1" applyAlignment="1">
      <alignment horizontal="center" vertical="top" wrapText="1"/>
    </xf>
    <xf numFmtId="0" fontId="2" fillId="0" borderId="11" xfId="55" applyFont="1" applyBorder="1" applyAlignment="1">
      <alignment/>
      <protection/>
    </xf>
    <xf numFmtId="0" fontId="12" fillId="0" borderId="0" xfId="55" applyFont="1" applyBorder="1" applyAlignment="1">
      <alignment/>
      <protection/>
    </xf>
    <xf numFmtId="0" fontId="2" fillId="0" borderId="11" xfId="55" applyFont="1" applyBorder="1" applyAlignment="1">
      <alignment vertical="top" wrapText="1"/>
      <protection/>
    </xf>
    <xf numFmtId="0" fontId="2" fillId="0" borderId="0" xfId="55" applyFont="1" applyAlignment="1">
      <alignment vertical="top" wrapText="1"/>
      <protection/>
    </xf>
    <xf numFmtId="0" fontId="16" fillId="0" borderId="0" xfId="55" applyFont="1">
      <alignment/>
      <protection/>
    </xf>
    <xf numFmtId="0" fontId="16" fillId="33" borderId="12" xfId="55" applyFont="1" applyFill="1" applyBorder="1" applyAlignment="1" quotePrefix="1">
      <alignment horizontal="center" vertical="center" wrapText="1"/>
      <protection/>
    </xf>
    <xf numFmtId="0" fontId="2" fillId="0" borderId="0" xfId="55" applyFont="1" applyBorder="1" applyAlignment="1">
      <alignment horizontal="left" vertical="center"/>
      <protection/>
    </xf>
    <xf numFmtId="0" fontId="2" fillId="0" borderId="11" xfId="55" applyFont="1" applyBorder="1" applyAlignment="1">
      <alignment horizontal="center" vertical="center"/>
      <protection/>
    </xf>
    <xf numFmtId="0" fontId="2" fillId="0" borderId="11" xfId="55" applyFont="1" applyBorder="1" applyAlignment="1">
      <alignment horizontal="left" vertical="center"/>
      <protection/>
    </xf>
    <xf numFmtId="0" fontId="2" fillId="0" borderId="0" xfId="55" applyFont="1" applyAlignment="1">
      <alignment horizontal="left" vertical="center"/>
      <protection/>
    </xf>
    <xf numFmtId="0" fontId="31" fillId="0" borderId="0" xfId="0" applyFont="1" applyAlignment="1">
      <alignment/>
    </xf>
    <xf numFmtId="0" fontId="32" fillId="0" borderId="0" xfId="0" applyFont="1" applyAlignment="1">
      <alignment/>
    </xf>
    <xf numFmtId="0" fontId="34" fillId="0" borderId="11" xfId="0" applyFont="1" applyBorder="1" applyAlignment="1">
      <alignment horizontal="center" vertical="top" wrapText="1"/>
    </xf>
    <xf numFmtId="0" fontId="108" fillId="0" borderId="0" xfId="0" applyFont="1" applyBorder="1" applyAlignment="1">
      <alignment vertical="top"/>
    </xf>
    <xf numFmtId="0" fontId="106" fillId="0" borderId="11" xfId="0" applyFont="1" applyBorder="1" applyAlignment="1">
      <alignment horizontal="center"/>
    </xf>
    <xf numFmtId="0" fontId="109" fillId="0" borderId="11" xfId="0" applyFont="1" applyBorder="1" applyAlignment="1">
      <alignment horizontal="center" vertical="center" wrapText="1"/>
    </xf>
    <xf numFmtId="0" fontId="110" fillId="0" borderId="11" xfId="0" applyFont="1" applyBorder="1" applyAlignment="1">
      <alignment vertical="center" wrapText="1"/>
    </xf>
    <xf numFmtId="0" fontId="0" fillId="0" borderId="0" xfId="0" applyFill="1" applyBorder="1" applyAlignment="1">
      <alignment horizontal="center"/>
    </xf>
    <xf numFmtId="0" fontId="111" fillId="0" borderId="0" xfId="0" applyFont="1" applyAlignment="1">
      <alignment horizontal="center"/>
    </xf>
    <xf numFmtId="0" fontId="104" fillId="0" borderId="0" xfId="0" applyFont="1" applyAlignment="1">
      <alignment/>
    </xf>
    <xf numFmtId="0" fontId="112" fillId="0" borderId="11" xfId="0" applyFont="1" applyBorder="1" applyAlignment="1">
      <alignment vertical="center" wrapText="1"/>
    </xf>
    <xf numFmtId="0" fontId="112" fillId="0" borderId="11" xfId="0" applyFont="1" applyBorder="1" applyAlignment="1">
      <alignment horizontal="left" vertical="center" wrapText="1" indent="2"/>
    </xf>
    <xf numFmtId="0" fontId="112" fillId="0" borderId="0" xfId="0" applyFont="1" applyBorder="1" applyAlignment="1">
      <alignment horizontal="left" vertical="center" wrapText="1" indent="2"/>
    </xf>
    <xf numFmtId="0" fontId="112" fillId="0" borderId="0" xfId="0" applyFont="1" applyBorder="1" applyAlignment="1">
      <alignment vertical="center" wrapText="1"/>
    </xf>
    <xf numFmtId="0" fontId="112" fillId="0" borderId="11" xfId="0" applyFont="1" applyBorder="1" applyAlignment="1">
      <alignment horizontal="center" vertical="center" wrapText="1"/>
    </xf>
    <xf numFmtId="0" fontId="2" fillId="0" borderId="11" xfId="0" applyFont="1" applyFill="1" applyBorder="1" applyAlignment="1">
      <alignment horizontal="center"/>
    </xf>
    <xf numFmtId="0" fontId="113" fillId="0" borderId="11" xfId="0" applyFont="1" applyBorder="1" applyAlignment="1">
      <alignment horizontal="center"/>
    </xf>
    <xf numFmtId="0" fontId="2" fillId="0" borderId="10" xfId="0" applyFont="1" applyBorder="1" applyAlignment="1">
      <alignment vertical="top" wrapText="1"/>
    </xf>
    <xf numFmtId="0" fontId="0" fillId="34" borderId="0" xfId="0" applyFont="1" applyFill="1" applyAlignment="1">
      <alignment/>
    </xf>
    <xf numFmtId="0" fontId="11" fillId="34" borderId="0" xfId="0" applyFont="1" applyFill="1" applyAlignment="1">
      <alignment/>
    </xf>
    <xf numFmtId="0" fontId="2" fillId="34" borderId="0" xfId="0" applyFont="1" applyFill="1" applyAlignment="1">
      <alignment/>
    </xf>
    <xf numFmtId="0" fontId="114" fillId="0" borderId="0" xfId="0" applyFont="1" applyAlignment="1">
      <alignment/>
    </xf>
    <xf numFmtId="0" fontId="2"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49" fontId="2" fillId="0" borderId="0" xfId="0" applyNumberFormat="1" applyFont="1" applyBorder="1" applyAlignment="1">
      <alignment horizontal="left" vertical="top"/>
    </xf>
    <xf numFmtId="0" fontId="2" fillId="0" borderId="11" xfId="58" applyFont="1" applyFill="1" applyBorder="1" applyAlignment="1">
      <alignment horizontal="left" vertical="center" wrapText="1"/>
      <protection/>
    </xf>
    <xf numFmtId="0" fontId="0" fillId="33" borderId="0" xfId="55" applyFont="1" applyFill="1">
      <alignment/>
      <protection/>
    </xf>
    <xf numFmtId="0" fontId="16" fillId="33" borderId="11" xfId="55" applyFont="1" applyFill="1" applyBorder="1" applyAlignment="1">
      <alignment horizontal="center"/>
      <protection/>
    </xf>
    <xf numFmtId="0" fontId="0" fillId="33" borderId="0" xfId="0" applyFont="1" applyFill="1" applyAlignment="1">
      <alignment/>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0" fillId="33" borderId="11"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Alignment="1">
      <alignment/>
    </xf>
    <xf numFmtId="0" fontId="15" fillId="33" borderId="0" xfId="0" applyFont="1" applyFill="1" applyAlignment="1">
      <alignment wrapText="1"/>
    </xf>
    <xf numFmtId="0" fontId="2" fillId="33" borderId="0" xfId="0" applyFont="1" applyFill="1" applyBorder="1" applyAlignment="1">
      <alignment horizontal="right"/>
    </xf>
    <xf numFmtId="0" fontId="0" fillId="33" borderId="11" xfId="0" applyFont="1" applyFill="1" applyBorder="1" applyAlignment="1">
      <alignment horizontal="center" vertical="center" wrapText="1"/>
    </xf>
    <xf numFmtId="0" fontId="2" fillId="33" borderId="0" xfId="0" applyFont="1" applyFill="1" applyBorder="1" applyAlignment="1">
      <alignment horizontal="center" vertical="top" wrapText="1"/>
    </xf>
    <xf numFmtId="0" fontId="11" fillId="33" borderId="0" xfId="0" applyFont="1" applyFill="1" applyAlignment="1">
      <alignment/>
    </xf>
    <xf numFmtId="0" fontId="2" fillId="0" borderId="0" xfId="58" applyFont="1" applyAlignment="1">
      <alignment/>
      <protection/>
    </xf>
    <xf numFmtId="0" fontId="16" fillId="0" borderId="0" xfId="58" applyFont="1" applyAlignment="1">
      <alignment horizontal="right"/>
      <protection/>
    </xf>
    <xf numFmtId="0" fontId="115" fillId="0" borderId="0" xfId="0" applyFont="1" applyBorder="1" applyAlignment="1">
      <alignment vertical="top"/>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1" xfId="55"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right" vertical="center" wrapText="1"/>
    </xf>
    <xf numFmtId="0" fontId="0" fillId="0" borderId="0" xfId="0" applyAlignment="1">
      <alignment vertical="center"/>
    </xf>
    <xf numFmtId="0" fontId="2" fillId="0" borderId="10" xfId="0" applyFont="1" applyBorder="1" applyAlignment="1">
      <alignment horizontal="center" vertical="center" wrapText="1"/>
    </xf>
    <xf numFmtId="0" fontId="2" fillId="0" borderId="11" xfId="58" applyFont="1" applyBorder="1" applyAlignment="1">
      <alignment horizontal="center" vertical="center" wrapText="1"/>
      <protection/>
    </xf>
    <xf numFmtId="0" fontId="2" fillId="0" borderId="0" xfId="58" applyFont="1" applyBorder="1" applyAlignment="1">
      <alignment horizontal="left" vertical="center"/>
      <protection/>
    </xf>
    <xf numFmtId="0" fontId="113" fillId="0" borderId="0" xfId="0" applyFont="1" applyBorder="1" applyAlignment="1">
      <alignment/>
    </xf>
    <xf numFmtId="0" fontId="34" fillId="0" borderId="10" xfId="0" applyFont="1" applyBorder="1" applyAlignment="1">
      <alignment horizontal="center" vertical="center" wrapText="1"/>
    </xf>
    <xf numFmtId="0" fontId="34" fillId="33"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6" xfId="0" applyFont="1" applyBorder="1" applyAlignment="1">
      <alignment horizontal="center" vertical="center" wrapText="1"/>
    </xf>
    <xf numFmtId="0" fontId="0" fillId="0" borderId="0" xfId="0" applyFont="1" applyAlignment="1">
      <alignment horizontal="center" vertical="center" wrapText="1"/>
    </xf>
    <xf numFmtId="0" fontId="14" fillId="0" borderId="0" xfId="0" applyFont="1" applyAlignment="1">
      <alignment vertical="top"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0" fillId="34" borderId="0" xfId="0" applyFont="1" applyFill="1" applyAlignment="1">
      <alignment horizontal="center" vertical="center"/>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Alignment="1">
      <alignment/>
    </xf>
    <xf numFmtId="0" fontId="0" fillId="33" borderId="0" xfId="0" applyFont="1" applyFill="1" applyAlignment="1">
      <alignment horizontal="center" vertical="center"/>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2" fillId="0" borderId="0" xfId="55" applyFont="1" applyAlignment="1">
      <alignment horizontal="center"/>
      <protection/>
    </xf>
    <xf numFmtId="0" fontId="4" fillId="0" borderId="0" xfId="58" applyFont="1" applyAlignment="1">
      <alignment horizontal="center"/>
      <protection/>
    </xf>
    <xf numFmtId="0" fontId="21" fillId="0" borderId="11" xfId="55" applyFont="1" applyBorder="1" applyAlignment="1">
      <alignment horizontal="center" vertical="center" wrapText="1"/>
      <protection/>
    </xf>
    <xf numFmtId="0" fontId="17" fillId="0" borderId="0" xfId="55" applyFont="1" applyBorder="1" applyAlignment="1">
      <alignment horizontal="center" vertical="center"/>
      <protection/>
    </xf>
    <xf numFmtId="0" fontId="17" fillId="0" borderId="0" xfId="55" applyFont="1" applyAlignment="1">
      <alignment horizontal="center" vertical="center"/>
      <protection/>
    </xf>
    <xf numFmtId="0" fontId="17" fillId="0" borderId="11" xfId="55" applyFont="1" applyBorder="1" applyAlignment="1">
      <alignment horizontal="center" vertical="center" wrapText="1"/>
      <protection/>
    </xf>
    <xf numFmtId="0" fontId="17" fillId="0" borderId="0" xfId="55" applyFont="1" applyAlignment="1">
      <alignment horizontal="center" vertical="center" wrapText="1"/>
      <protection/>
    </xf>
    <xf numFmtId="0" fontId="19" fillId="0" borderId="11" xfId="55" applyFont="1" applyBorder="1" applyAlignment="1">
      <alignment horizontal="center" vertical="center" wrapText="1"/>
      <protection/>
    </xf>
    <xf numFmtId="0" fontId="18" fillId="0" borderId="0" xfId="55" applyFont="1" applyAlignment="1">
      <alignment horizontal="center" vertical="center"/>
      <protection/>
    </xf>
    <xf numFmtId="0" fontId="18" fillId="0" borderId="0" xfId="55" applyFont="1" applyBorder="1" applyAlignment="1">
      <alignment horizontal="center" vertical="center"/>
      <protection/>
    </xf>
    <xf numFmtId="0" fontId="0" fillId="0" borderId="0" xfId="58" applyAlignment="1">
      <alignment horizontal="center" vertical="center"/>
      <protection/>
    </xf>
    <xf numFmtId="0" fontId="2" fillId="0" borderId="0" xfId="58" applyFont="1" applyBorder="1" applyAlignment="1">
      <alignment horizontal="center" vertical="center"/>
      <protection/>
    </xf>
    <xf numFmtId="0" fontId="2" fillId="0" borderId="0" xfId="58" applyFont="1" applyAlignment="1">
      <alignment horizontal="center" vertical="center"/>
      <protection/>
    </xf>
    <xf numFmtId="0" fontId="0" fillId="0" borderId="0" xfId="58" applyAlignment="1">
      <alignment vertical="center"/>
      <protection/>
    </xf>
    <xf numFmtId="0" fontId="2" fillId="0" borderId="21" xfId="58" applyFont="1" applyFill="1" applyBorder="1" applyAlignment="1">
      <alignment horizontal="center" vertical="center" wrapText="1"/>
      <protection/>
    </xf>
    <xf numFmtId="0" fontId="2" fillId="0" borderId="24" xfId="58" applyFont="1" applyFill="1" applyBorder="1" applyAlignment="1">
      <alignment horizontal="center" vertical="center" wrapText="1"/>
      <protection/>
    </xf>
    <xf numFmtId="0" fontId="2" fillId="0" borderId="13" xfId="58" applyFont="1" applyBorder="1" applyAlignment="1">
      <alignment horizontal="center" vertical="center" wrapText="1"/>
      <protection/>
    </xf>
    <xf numFmtId="0" fontId="2" fillId="0" borderId="0" xfId="58" applyFont="1" applyAlignment="1">
      <alignment vertical="center"/>
      <protection/>
    </xf>
    <xf numFmtId="0" fontId="14" fillId="0" borderId="0" xfId="58" applyFont="1">
      <alignment/>
      <protection/>
    </xf>
    <xf numFmtId="0" fontId="14" fillId="0" borderId="0" xfId="58" applyFont="1" applyAlignment="1">
      <alignment vertical="top" wrapText="1"/>
      <protection/>
    </xf>
    <xf numFmtId="0" fontId="12" fillId="0" borderId="0" xfId="58" applyFont="1">
      <alignment/>
      <protection/>
    </xf>
    <xf numFmtId="0" fontId="2" fillId="0" borderId="0" xfId="58" applyFont="1" applyAlignment="1">
      <alignment vertical="top" wrapText="1"/>
      <protection/>
    </xf>
    <xf numFmtId="0" fontId="12" fillId="0" borderId="0" xfId="58" applyFont="1" applyAlignment="1">
      <alignment horizontal="center"/>
      <protection/>
    </xf>
    <xf numFmtId="2" fontId="14" fillId="0" borderId="11" xfId="0" applyNumberFormat="1" applyFont="1" applyBorder="1" applyAlignment="1">
      <alignment horizontal="center"/>
    </xf>
    <xf numFmtId="0" fontId="2" fillId="33" borderId="11" xfId="0" applyFont="1" applyFill="1" applyBorder="1" applyAlignment="1">
      <alignment/>
    </xf>
    <xf numFmtId="1" fontId="0" fillId="0" borderId="0" xfId="0" applyNumberFormat="1" applyFont="1" applyAlignment="1">
      <alignment/>
    </xf>
    <xf numFmtId="2" fontId="0" fillId="0" borderId="11" xfId="0" applyNumberFormat="1" applyFont="1" applyBorder="1" applyAlignment="1">
      <alignment/>
    </xf>
    <xf numFmtId="1" fontId="0" fillId="0" borderId="15" xfId="0" applyNumberFormat="1" applyFont="1" applyBorder="1" applyAlignment="1">
      <alignment/>
    </xf>
    <xf numFmtId="1" fontId="0" fillId="0" borderId="11" xfId="0" applyNumberFormat="1" applyFont="1" applyBorder="1" applyAlignment="1">
      <alignment/>
    </xf>
    <xf numFmtId="2" fontId="11" fillId="0" borderId="11" xfId="55" applyNumberFormat="1" applyFont="1" applyBorder="1" applyAlignment="1">
      <alignment horizontal="right"/>
      <protection/>
    </xf>
    <xf numFmtId="2" fontId="0" fillId="0" borderId="11" xfId="0" applyNumberFormat="1" applyFont="1" applyBorder="1" applyAlignment="1">
      <alignment horizontal="right"/>
    </xf>
    <xf numFmtId="2" fontId="113" fillId="0" borderId="11" xfId="0" applyNumberFormat="1" applyFont="1" applyBorder="1" applyAlignment="1">
      <alignment horizontal="right"/>
    </xf>
    <xf numFmtId="2" fontId="0" fillId="0" borderId="11" xfId="0" applyNumberFormat="1" applyBorder="1" applyAlignment="1">
      <alignment horizontal="right"/>
    </xf>
    <xf numFmtId="2" fontId="2" fillId="0" borderId="11" xfId="0" applyNumberFormat="1" applyFont="1" applyBorder="1" applyAlignment="1">
      <alignment horizontal="right"/>
    </xf>
    <xf numFmtId="2" fontId="116" fillId="0" borderId="11" xfId="0" applyNumberFormat="1" applyFont="1" applyBorder="1" applyAlignment="1">
      <alignment horizontal="right"/>
    </xf>
    <xf numFmtId="0" fontId="2" fillId="0" borderId="25" xfId="0" applyFont="1" applyBorder="1" applyAlignment="1">
      <alignment vertical="top" wrapText="1"/>
    </xf>
    <xf numFmtId="0" fontId="2" fillId="0" borderId="0" xfId="55" applyFont="1" applyAlignment="1">
      <alignment horizontal="left"/>
      <protection/>
    </xf>
    <xf numFmtId="0" fontId="16" fillId="0" borderId="19" xfId="0" applyFont="1" applyBorder="1" applyAlignment="1">
      <alignment horizontal="left"/>
    </xf>
    <xf numFmtId="0" fontId="0" fillId="33" borderId="14" xfId="0" applyFont="1" applyFill="1" applyBorder="1" applyAlignment="1">
      <alignment/>
    </xf>
    <xf numFmtId="0" fontId="108" fillId="0" borderId="0" xfId="0" applyFont="1" applyBorder="1" applyAlignment="1">
      <alignment horizontal="center" vertical="top"/>
    </xf>
    <xf numFmtId="0" fontId="42" fillId="0" borderId="0" xfId="0" applyFont="1" applyAlignment="1">
      <alignment/>
    </xf>
    <xf numFmtId="2" fontId="0" fillId="0" borderId="0" xfId="0" applyNumberFormat="1" applyFont="1" applyAlignment="1">
      <alignment/>
    </xf>
    <xf numFmtId="0" fontId="113" fillId="0" borderId="0" xfId="0" applyFont="1" applyAlignment="1">
      <alignment/>
    </xf>
    <xf numFmtId="2" fontId="113" fillId="0" borderId="0" xfId="0" applyNumberFormat="1" applyFont="1" applyAlignment="1">
      <alignment/>
    </xf>
    <xf numFmtId="2" fontId="0" fillId="0" borderId="11" xfId="0" applyNumberFormat="1" applyFont="1" applyBorder="1" applyAlignment="1">
      <alignment horizontal="center" vertical="top" wrapText="1"/>
    </xf>
    <xf numFmtId="2" fontId="0" fillId="0" borderId="12" xfId="0" applyNumberFormat="1" applyFont="1" applyBorder="1" applyAlignment="1">
      <alignment horizontal="center" vertical="top" wrapText="1"/>
    </xf>
    <xf numFmtId="2" fontId="0" fillId="0" borderId="11" xfId="0" applyNumberFormat="1" applyBorder="1" applyAlignment="1">
      <alignment/>
    </xf>
    <xf numFmtId="2" fontId="0" fillId="0" borderId="0" xfId="0" applyNumberFormat="1" applyAlignment="1">
      <alignment/>
    </xf>
    <xf numFmtId="0" fontId="0" fillId="0" borderId="0" xfId="0" applyFont="1" applyAlignment="1">
      <alignment horizontal="right"/>
    </xf>
    <xf numFmtId="16" fontId="0" fillId="0" borderId="0" xfId="0" applyNumberFormat="1" applyFont="1" applyAlignment="1">
      <alignment horizontal="right"/>
    </xf>
    <xf numFmtId="1" fontId="0" fillId="0" borderId="0" xfId="0" applyNumberFormat="1" applyAlignment="1">
      <alignment/>
    </xf>
    <xf numFmtId="1" fontId="0" fillId="33" borderId="11" xfId="0" applyNumberFormat="1" applyFont="1" applyFill="1" applyBorder="1" applyAlignment="1">
      <alignment/>
    </xf>
    <xf numFmtId="0" fontId="41" fillId="0" borderId="0" xfId="0" applyFont="1" applyAlignment="1">
      <alignment/>
    </xf>
    <xf numFmtId="2" fontId="0" fillId="33" borderId="11" xfId="0" applyNumberFormat="1" applyFont="1" applyFill="1" applyBorder="1" applyAlignment="1">
      <alignment horizontal="right"/>
    </xf>
    <xf numFmtId="0" fontId="0" fillId="0" borderId="0" xfId="60" applyAlignment="1">
      <alignment vertical="center"/>
      <protection/>
    </xf>
    <xf numFmtId="0" fontId="2" fillId="0" borderId="0" xfId="55" applyFont="1" applyBorder="1" applyAlignment="1">
      <alignment horizontal="center" vertical="center" wrapText="1"/>
      <protection/>
    </xf>
    <xf numFmtId="0" fontId="2" fillId="0" borderId="0" xfId="55" applyFont="1" applyBorder="1" applyAlignment="1">
      <alignment vertical="center"/>
      <protection/>
    </xf>
    <xf numFmtId="0" fontId="14" fillId="0" borderId="0" xfId="55" applyFont="1" applyBorder="1" applyAlignment="1">
      <alignment horizontal="left" vertical="center"/>
      <protection/>
    </xf>
    <xf numFmtId="0" fontId="2" fillId="33" borderId="11" xfId="55" applyFont="1" applyFill="1" applyBorder="1" applyAlignment="1">
      <alignment horizontal="center" vertical="center"/>
      <protection/>
    </xf>
    <xf numFmtId="0" fontId="2" fillId="0" borderId="0" xfId="55" applyFont="1" applyBorder="1" applyAlignment="1">
      <alignment horizontal="left"/>
      <protection/>
    </xf>
    <xf numFmtId="0" fontId="34" fillId="0" borderId="11" xfId="0" applyFont="1" applyBorder="1" applyAlignment="1">
      <alignment horizontal="center" vertical="center" wrapText="1"/>
    </xf>
    <xf numFmtId="0" fontId="6" fillId="0" borderId="0" xfId="59" applyFont="1" applyAlignment="1">
      <alignment vertical="top" wrapText="1"/>
      <protection/>
    </xf>
    <xf numFmtId="0" fontId="117" fillId="0" borderId="11" xfId="0" applyFont="1" applyBorder="1" applyAlignment="1">
      <alignment vertical="center" wrapText="1"/>
    </xf>
    <xf numFmtId="0" fontId="117" fillId="0" borderId="11" xfId="0" applyFont="1" applyBorder="1" applyAlignment="1">
      <alignment horizontal="center" vertical="center" wrapText="1"/>
    </xf>
    <xf numFmtId="0" fontId="117" fillId="0" borderId="12" xfId="0" applyFont="1" applyBorder="1" applyAlignment="1">
      <alignment horizontal="center" vertical="center" wrapText="1"/>
    </xf>
    <xf numFmtId="0" fontId="16" fillId="0" borderId="0" xfId="0" applyFont="1" applyBorder="1" applyAlignment="1">
      <alignment horizontal="left"/>
    </xf>
    <xf numFmtId="2" fontId="18" fillId="0" borderId="11" xfId="55" applyNumberFormat="1" applyFont="1" applyBorder="1" applyAlignment="1">
      <alignment/>
      <protection/>
    </xf>
    <xf numFmtId="2" fontId="18" fillId="0" borderId="11" xfId="55" applyNumberFormat="1" applyFont="1" applyBorder="1">
      <alignment/>
      <protection/>
    </xf>
    <xf numFmtId="0" fontId="14" fillId="0" borderId="0" xfId="58" applyFont="1" applyAlignment="1">
      <alignment horizontal="left"/>
      <protection/>
    </xf>
    <xf numFmtId="0" fontId="2" fillId="0" borderId="11" xfId="55" applyFont="1" applyBorder="1" applyAlignment="1">
      <alignment horizontal="right" vertical="center"/>
      <protection/>
    </xf>
    <xf numFmtId="0" fontId="2" fillId="0" borderId="0" xfId="55" applyFont="1" applyBorder="1" applyAlignment="1">
      <alignment vertical="top" wrapText="1"/>
      <protection/>
    </xf>
    <xf numFmtId="0" fontId="2" fillId="0" borderId="11" xfId="55" applyFont="1" applyBorder="1" applyAlignment="1">
      <alignment horizontal="right"/>
      <protection/>
    </xf>
    <xf numFmtId="2" fontId="2" fillId="0" borderId="11" xfId="0" applyNumberFormat="1" applyFont="1" applyBorder="1" applyAlignment="1">
      <alignment/>
    </xf>
    <xf numFmtId="0" fontId="2" fillId="0" borderId="0" xfId="60" applyFont="1">
      <alignment/>
      <protection/>
    </xf>
    <xf numFmtId="0" fontId="14" fillId="0" borderId="11" xfId="60" applyFont="1" applyBorder="1" applyAlignment="1">
      <alignment vertical="center"/>
      <protection/>
    </xf>
    <xf numFmtId="0" fontId="14" fillId="0" borderId="0" xfId="60" applyFont="1" applyAlignment="1">
      <alignment vertical="center"/>
      <protection/>
    </xf>
    <xf numFmtId="2" fontId="12" fillId="0" borderId="11" xfId="60" applyNumberFormat="1" applyFont="1" applyBorder="1" applyAlignment="1">
      <alignment horizontal="right" vertical="top" wrapText="1"/>
      <protection/>
    </xf>
    <xf numFmtId="2" fontId="14" fillId="0" borderId="11" xfId="60" applyNumberFormat="1" applyFont="1" applyBorder="1" applyAlignment="1">
      <alignment horizontal="right" vertical="center"/>
      <protection/>
    </xf>
    <xf numFmtId="0" fontId="14" fillId="0" borderId="11" xfId="60" applyFont="1" applyBorder="1" applyAlignment="1">
      <alignment horizontal="right" vertical="center"/>
      <protection/>
    </xf>
    <xf numFmtId="0" fontId="12" fillId="0" borderId="11" xfId="60" applyFont="1" applyBorder="1" applyAlignment="1">
      <alignment horizontal="left" vertical="center" wrapText="1"/>
      <protection/>
    </xf>
    <xf numFmtId="2" fontId="12" fillId="0" borderId="11" xfId="60" applyNumberFormat="1" applyFont="1" applyBorder="1" applyAlignment="1">
      <alignment horizontal="right" vertical="center" wrapText="1"/>
      <protection/>
    </xf>
    <xf numFmtId="0" fontId="12" fillId="0" borderId="11" xfId="60" applyFont="1" applyBorder="1" applyAlignment="1">
      <alignment horizontal="center" vertical="center" wrapText="1"/>
      <protection/>
    </xf>
    <xf numFmtId="2" fontId="14" fillId="0" borderId="11" xfId="60" applyNumberFormat="1" applyFont="1" applyBorder="1" applyAlignment="1">
      <alignment horizontal="right" vertical="center" wrapText="1"/>
      <protection/>
    </xf>
    <xf numFmtId="0" fontId="12" fillId="0" borderId="11" xfId="60" applyFont="1" applyBorder="1" applyAlignment="1">
      <alignment horizontal="right" vertical="center" wrapText="1"/>
      <protection/>
    </xf>
    <xf numFmtId="0" fontId="14" fillId="0" borderId="11" xfId="60" applyFont="1" applyBorder="1" applyAlignment="1">
      <alignment horizontal="right" vertical="center" wrapText="1"/>
      <protection/>
    </xf>
    <xf numFmtId="1" fontId="0" fillId="0" borderId="11" xfId="0" applyNumberFormat="1" applyBorder="1" applyAlignment="1">
      <alignment/>
    </xf>
    <xf numFmtId="0" fontId="6" fillId="0" borderId="0" xfId="60" applyFont="1">
      <alignment/>
      <protection/>
    </xf>
    <xf numFmtId="2" fontId="0" fillId="0" borderId="11" xfId="59" applyNumberFormat="1" applyBorder="1">
      <alignment/>
      <protection/>
    </xf>
    <xf numFmtId="2" fontId="2" fillId="0" borderId="11" xfId="59" applyNumberFormat="1" applyFont="1" applyBorder="1">
      <alignment/>
      <protection/>
    </xf>
    <xf numFmtId="2" fontId="16" fillId="0" borderId="11" xfId="59" applyNumberFormat="1" applyFont="1" applyBorder="1">
      <alignment/>
      <protection/>
    </xf>
    <xf numFmtId="0" fontId="2" fillId="0" borderId="0" xfId="0" applyFont="1" applyFill="1" applyBorder="1" applyAlignment="1">
      <alignment/>
    </xf>
    <xf numFmtId="0" fontId="0" fillId="0" borderId="0" xfId="60" applyBorder="1">
      <alignment/>
      <protection/>
    </xf>
    <xf numFmtId="0" fontId="12" fillId="0" borderId="0" xfId="60" applyFont="1" applyBorder="1" applyAlignment="1">
      <alignment horizontal="center" vertical="top" wrapText="1"/>
      <protection/>
    </xf>
    <xf numFmtId="2" fontId="0" fillId="0" borderId="0" xfId="60" applyNumberFormat="1" applyBorder="1">
      <alignment/>
      <protection/>
    </xf>
    <xf numFmtId="0" fontId="2" fillId="0" borderId="0" xfId="59" applyFont="1" applyAlignment="1">
      <alignment/>
      <protection/>
    </xf>
    <xf numFmtId="0" fontId="13" fillId="0" borderId="0" xfId="0" applyFont="1" applyAlignment="1">
      <alignment/>
    </xf>
    <xf numFmtId="0" fontId="31" fillId="0" borderId="0" xfId="0" applyFont="1" applyAlignment="1">
      <alignment horizontal="center"/>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55" applyFont="1" applyFill="1" applyBorder="1" applyAlignment="1" quotePrefix="1">
      <alignment horizontal="center" vertical="center" wrapText="1"/>
      <protection/>
    </xf>
    <xf numFmtId="0" fontId="16" fillId="33" borderId="11" xfId="55" applyFont="1" applyFill="1" applyBorder="1" applyAlignment="1" quotePrefix="1">
      <alignment horizontal="center" vertical="center" wrapText="1"/>
      <protection/>
    </xf>
    <xf numFmtId="0" fontId="0" fillId="33" borderId="0" xfId="0" applyFont="1" applyFill="1" applyAlignment="1">
      <alignment vertical="center"/>
    </xf>
    <xf numFmtId="0" fontId="0" fillId="34" borderId="0" xfId="0" applyFont="1" applyFill="1" applyAlignment="1">
      <alignment vertical="center"/>
    </xf>
    <xf numFmtId="0" fontId="12" fillId="0" borderId="0" xfId="0" applyFont="1" applyAlignment="1">
      <alignment vertical="center"/>
    </xf>
    <xf numFmtId="0" fontId="12" fillId="0" borderId="0" xfId="0" applyFont="1" applyBorder="1" applyAlignment="1">
      <alignment vertical="center"/>
    </xf>
    <xf numFmtId="2" fontId="0" fillId="0" borderId="10" xfId="0" applyNumberFormat="1" applyFont="1" applyBorder="1" applyAlignment="1">
      <alignment vertical="center"/>
    </xf>
    <xf numFmtId="2" fontId="0" fillId="0" borderId="14" xfId="0" applyNumberFormat="1" applyFont="1" applyBorder="1" applyAlignment="1">
      <alignment/>
    </xf>
    <xf numFmtId="0" fontId="16" fillId="0" borderId="11" xfId="59" applyFont="1" applyBorder="1" applyAlignment="1">
      <alignment horizontal="center" vertical="center" wrapText="1"/>
      <protection/>
    </xf>
    <xf numFmtId="0" fontId="16" fillId="0" borderId="0" xfId="59" applyFont="1" applyAlignment="1">
      <alignment vertical="center"/>
      <protection/>
    </xf>
    <xf numFmtId="0" fontId="16" fillId="0" borderId="0" xfId="59" applyFont="1" applyBorder="1" applyAlignment="1">
      <alignment vertical="center"/>
      <protection/>
    </xf>
    <xf numFmtId="0" fontId="0" fillId="0" borderId="0" xfId="59" applyAlignment="1">
      <alignment vertical="center"/>
      <protection/>
    </xf>
    <xf numFmtId="0" fontId="16" fillId="0" borderId="14" xfId="59" applyFont="1" applyBorder="1" applyAlignment="1">
      <alignment horizontal="center" vertical="center" wrapText="1"/>
      <protection/>
    </xf>
    <xf numFmtId="0" fontId="16" fillId="0" borderId="22" xfId="59" applyFont="1" applyBorder="1" applyAlignment="1">
      <alignment horizontal="center" vertical="center" wrapText="1"/>
      <protection/>
    </xf>
    <xf numFmtId="0" fontId="16" fillId="0" borderId="15" xfId="59" applyFont="1" applyBorder="1" applyAlignment="1">
      <alignment horizontal="center" vertical="center" wrapText="1"/>
      <protection/>
    </xf>
    <xf numFmtId="0" fontId="104" fillId="0" borderId="11" xfId="0" applyFont="1" applyBorder="1" applyAlignment="1">
      <alignment vertical="center" wrapText="1"/>
    </xf>
    <xf numFmtId="0" fontId="104" fillId="0" borderId="11" xfId="0" applyFont="1" applyBorder="1" applyAlignment="1">
      <alignment wrapText="1"/>
    </xf>
    <xf numFmtId="0" fontId="44" fillId="0" borderId="0" xfId="0" applyFont="1" applyAlignment="1">
      <alignment/>
    </xf>
    <xf numFmtId="0" fontId="41" fillId="33" borderId="0" xfId="0" applyFont="1" applyFill="1" applyAlignment="1">
      <alignment/>
    </xf>
    <xf numFmtId="0" fontId="44" fillId="33" borderId="0" xfId="0" applyFont="1" applyFill="1" applyAlignment="1">
      <alignment/>
    </xf>
    <xf numFmtId="0" fontId="42" fillId="0" borderId="0" xfId="55" applyFont="1" applyAlignment="1">
      <alignment horizontal="center"/>
      <protection/>
    </xf>
    <xf numFmtId="0" fontId="14" fillId="0" borderId="0" xfId="0" applyFont="1" applyAlignment="1">
      <alignment/>
    </xf>
    <xf numFmtId="0" fontId="78" fillId="0" borderId="11" xfId="0" applyFont="1" applyBorder="1" applyAlignment="1">
      <alignment/>
    </xf>
    <xf numFmtId="0" fontId="2" fillId="0" borderId="0" xfId="0" applyFont="1" applyBorder="1" applyAlignment="1">
      <alignment vertical="top" wrapText="1"/>
    </xf>
    <xf numFmtId="0" fontId="104" fillId="0" borderId="0" xfId="55" applyFont="1" applyBorder="1">
      <alignment/>
      <protection/>
    </xf>
    <xf numFmtId="0" fontId="33" fillId="33" borderId="0" xfId="0" applyFont="1" applyFill="1" applyAlignment="1">
      <alignment/>
    </xf>
    <xf numFmtId="0" fontId="35" fillId="0" borderId="0" xfId="0" applyFont="1" applyBorder="1" applyAlignment="1">
      <alignment/>
    </xf>
    <xf numFmtId="0" fontId="0" fillId="33" borderId="0" xfId="0" applyFill="1" applyAlignment="1">
      <alignment/>
    </xf>
    <xf numFmtId="0" fontId="9" fillId="33" borderId="0" xfId="0" applyFont="1" applyFill="1" applyAlignment="1">
      <alignment horizontal="right"/>
    </xf>
    <xf numFmtId="0" fontId="104" fillId="33" borderId="11" xfId="0" applyFont="1" applyFill="1" applyBorder="1" applyAlignment="1">
      <alignment horizontal="center" vertical="center" wrapText="1"/>
    </xf>
    <xf numFmtId="0" fontId="33" fillId="0" borderId="11" xfId="0" applyFont="1" applyBorder="1" applyAlignment="1" quotePrefix="1">
      <alignment horizontal="center" vertical="top" wrapText="1"/>
    </xf>
    <xf numFmtId="0" fontId="35" fillId="0" borderId="12" xfId="0" applyFont="1" applyBorder="1" applyAlignment="1">
      <alignment horizontal="center" vertical="top" wrapText="1"/>
    </xf>
    <xf numFmtId="0" fontId="41" fillId="0" borderId="0" xfId="0" applyFont="1" applyAlignment="1">
      <alignment/>
    </xf>
    <xf numFmtId="2" fontId="0" fillId="0" borderId="24" xfId="0" applyNumberFormat="1" applyFont="1" applyFill="1" applyBorder="1" applyAlignment="1">
      <alignment/>
    </xf>
    <xf numFmtId="2" fontId="0" fillId="0" borderId="0" xfId="0" applyNumberFormat="1" applyFont="1" applyFill="1" applyBorder="1" applyAlignment="1">
      <alignment/>
    </xf>
    <xf numFmtId="2" fontId="11" fillId="0" borderId="11" xfId="55" applyNumberFormat="1" applyFont="1" applyBorder="1" applyAlignment="1">
      <alignment horizontal="right" vertical="center"/>
      <protection/>
    </xf>
    <xf numFmtId="0" fontId="0" fillId="0" borderId="0" xfId="0" applyFont="1" applyFill="1" applyBorder="1" applyAlignment="1">
      <alignment/>
    </xf>
    <xf numFmtId="2" fontId="0" fillId="0" borderId="21" xfId="0" applyNumberFormat="1" applyFill="1" applyBorder="1" applyAlignment="1">
      <alignment/>
    </xf>
    <xf numFmtId="2" fontId="0" fillId="0" borderId="24" xfId="0" applyNumberFormat="1" applyFill="1" applyBorder="1" applyAlignment="1">
      <alignment/>
    </xf>
    <xf numFmtId="2" fontId="0" fillId="0" borderId="0" xfId="0" applyNumberFormat="1" applyBorder="1" applyAlignment="1">
      <alignment/>
    </xf>
    <xf numFmtId="0" fontId="0" fillId="0" borderId="21" xfId="0" applyFill="1" applyBorder="1" applyAlignment="1">
      <alignment/>
    </xf>
    <xf numFmtId="0" fontId="0" fillId="0" borderId="24" xfId="0" applyFill="1" applyBorder="1" applyAlignment="1">
      <alignment/>
    </xf>
    <xf numFmtId="0" fontId="118" fillId="0" borderId="11" xfId="0" applyFont="1" applyBorder="1" applyAlignment="1">
      <alignment vertical="center" wrapText="1"/>
    </xf>
    <xf numFmtId="0" fontId="118" fillId="0" borderId="11" xfId="0" applyFont="1" applyBorder="1" applyAlignment="1">
      <alignment horizontal="center" vertical="center" wrapText="1"/>
    </xf>
    <xf numFmtId="0" fontId="14" fillId="0" borderId="11" xfId="0" applyFont="1" applyBorder="1" applyAlignment="1">
      <alignment horizontal="right" vertical="top" wrapText="1"/>
    </xf>
    <xf numFmtId="17" fontId="12" fillId="0" borderId="11" xfId="0" applyNumberFormat="1" applyFont="1" applyBorder="1" applyAlignment="1">
      <alignment horizontal="left" vertical="top" wrapText="1"/>
    </xf>
    <xf numFmtId="0" fontId="0" fillId="0" borderId="11" xfId="55" applyFont="1" applyBorder="1" applyAlignment="1">
      <alignment/>
      <protection/>
    </xf>
    <xf numFmtId="1" fontId="89" fillId="0" borderId="0" xfId="55" applyNumberFormat="1" applyBorder="1">
      <alignment/>
      <protection/>
    </xf>
    <xf numFmtId="0" fontId="2" fillId="33" borderId="11" xfId="0" applyFont="1" applyFill="1" applyBorder="1" applyAlignment="1">
      <alignment horizontal="center" vertical="center" wrapText="1"/>
    </xf>
    <xf numFmtId="0" fontId="0" fillId="0" borderId="0" xfId="0" applyFont="1" applyAlignment="1">
      <alignment/>
    </xf>
    <xf numFmtId="0" fontId="2" fillId="0" borderId="0" xfId="0" applyFont="1" applyAlignment="1">
      <alignment vertical="top"/>
    </xf>
    <xf numFmtId="0" fontId="0" fillId="0" borderId="0" xfId="0" applyFont="1" applyAlignment="1">
      <alignment vertical="top"/>
    </xf>
    <xf numFmtId="0" fontId="42" fillId="0" borderId="0" xfId="0" applyFont="1" applyAlignment="1">
      <alignment vertical="center"/>
    </xf>
    <xf numFmtId="1" fontId="0" fillId="0" borderId="0" xfId="58" applyNumberFormat="1">
      <alignment/>
      <protection/>
    </xf>
    <xf numFmtId="1" fontId="6" fillId="0" borderId="0" xfId="58" applyNumberFormat="1" applyFont="1">
      <alignment/>
      <protection/>
    </xf>
    <xf numFmtId="1" fontId="6" fillId="0" borderId="0" xfId="58" applyNumberFormat="1" applyFont="1" applyAlignment="1">
      <alignment vertical="top" wrapText="1"/>
      <protection/>
    </xf>
    <xf numFmtId="0" fontId="115" fillId="0" borderId="11" xfId="0" applyFont="1" applyBorder="1" applyAlignment="1">
      <alignment horizontal="left" vertical="center" wrapText="1"/>
    </xf>
    <xf numFmtId="2" fontId="2" fillId="0" borderId="0" xfId="0" applyNumberFormat="1" applyFont="1" applyBorder="1" applyAlignment="1">
      <alignment/>
    </xf>
    <xf numFmtId="0" fontId="33" fillId="0" borderId="14" xfId="0" applyFont="1" applyBorder="1" applyAlignment="1" quotePrefix="1">
      <alignment horizontal="center" vertical="top" wrapText="1"/>
    </xf>
    <xf numFmtId="0" fontId="2" fillId="0" borderId="12" xfId="0" applyFont="1" applyBorder="1" applyAlignment="1">
      <alignment/>
    </xf>
    <xf numFmtId="0" fontId="33" fillId="0" borderId="15" xfId="0" applyFont="1" applyBorder="1" applyAlignment="1" quotePrefix="1">
      <alignment horizontal="right" vertical="top" wrapText="1"/>
    </xf>
    <xf numFmtId="0" fontId="33" fillId="0" borderId="11" xfId="0" applyFont="1" applyBorder="1" applyAlignment="1" quotePrefix="1">
      <alignment horizontal="right" vertical="top" wrapText="1"/>
    </xf>
    <xf numFmtId="0" fontId="45" fillId="0" borderId="11" xfId="0" applyFont="1" applyBorder="1" applyAlignment="1" quotePrefix="1">
      <alignment horizontal="center" vertical="top" wrapText="1"/>
    </xf>
    <xf numFmtId="0" fontId="45" fillId="0" borderId="10" xfId="0" applyFont="1" applyBorder="1" applyAlignment="1" quotePrefix="1">
      <alignment horizontal="center" vertical="top" wrapText="1"/>
    </xf>
    <xf numFmtId="2" fontId="33" fillId="0" borderId="11" xfId="0" applyNumberFormat="1" applyFont="1" applyBorder="1" applyAlignment="1" quotePrefix="1">
      <alignment horizontal="right" vertical="top" wrapText="1"/>
    </xf>
    <xf numFmtId="0" fontId="46" fillId="0" borderId="0" xfId="0" applyFont="1" applyBorder="1" applyAlignment="1">
      <alignment/>
    </xf>
    <xf numFmtId="0" fontId="0" fillId="0" borderId="0" xfId="0" applyFont="1" applyBorder="1" applyAlignment="1">
      <alignment/>
    </xf>
    <xf numFmtId="0" fontId="78" fillId="0" borderId="11" xfId="0" applyFont="1" applyFill="1" applyBorder="1" applyAlignment="1">
      <alignment/>
    </xf>
    <xf numFmtId="1" fontId="0" fillId="0" borderId="0" xfId="0" applyNumberFormat="1" applyBorder="1" applyAlignment="1">
      <alignment/>
    </xf>
    <xf numFmtId="1" fontId="2" fillId="0" borderId="0" xfId="0" applyNumberFormat="1" applyFont="1" applyBorder="1" applyAlignment="1">
      <alignment vertical="top" wrapText="1"/>
    </xf>
    <xf numFmtId="2" fontId="0" fillId="0" borderId="0" xfId="55" applyNumberFormat="1" applyFont="1">
      <alignment/>
      <protection/>
    </xf>
    <xf numFmtId="2" fontId="11" fillId="0" borderId="11" xfId="55" applyNumberFormat="1" applyFont="1" applyBorder="1" applyAlignment="1">
      <alignment vertical="center"/>
      <protection/>
    </xf>
    <xf numFmtId="2" fontId="11" fillId="0" borderId="11" xfId="55" applyNumberFormat="1" applyFont="1" applyBorder="1" applyAlignment="1">
      <alignment horizontal="center"/>
      <protection/>
    </xf>
    <xf numFmtId="0" fontId="116" fillId="0" borderId="0" xfId="0" applyFont="1" applyAlignment="1">
      <alignment horizontal="left"/>
    </xf>
    <xf numFmtId="0" fontId="119" fillId="0" borderId="0" xfId="0" applyFont="1" applyAlignment="1">
      <alignment horizontal="left" vertical="center"/>
    </xf>
    <xf numFmtId="0" fontId="21" fillId="0" borderId="14" xfId="55" applyFont="1" applyBorder="1" applyAlignment="1">
      <alignment horizontal="center" vertical="center" wrapText="1"/>
      <protection/>
    </xf>
    <xf numFmtId="0" fontId="0" fillId="0" borderId="26" xfId="58" applyBorder="1" applyAlignment="1">
      <alignment horizontal="center" vertical="center"/>
      <protection/>
    </xf>
    <xf numFmtId="0" fontId="0" fillId="0" borderId="27" xfId="58" applyBorder="1" applyAlignment="1">
      <alignment horizontal="center" vertical="center"/>
      <protection/>
    </xf>
    <xf numFmtId="0" fontId="0" fillId="0" borderId="28" xfId="58" applyBorder="1" applyAlignment="1">
      <alignment horizontal="center" vertical="center"/>
      <protection/>
    </xf>
    <xf numFmtId="0" fontId="2" fillId="0" borderId="11" xfId="0" applyFont="1" applyFill="1" applyBorder="1" applyAlignment="1">
      <alignment horizontal="center" vertical="center" wrapText="1"/>
    </xf>
    <xf numFmtId="0" fontId="120" fillId="0" borderId="0" xfId="0" applyFont="1" applyAlignment="1">
      <alignment/>
    </xf>
    <xf numFmtId="0" fontId="2" fillId="33" borderId="0" xfId="0" applyFont="1" applyFill="1" applyBorder="1" applyAlignment="1">
      <alignment/>
    </xf>
    <xf numFmtId="0" fontId="116" fillId="0" borderId="0" xfId="0" applyFont="1" applyAlignment="1">
      <alignment/>
    </xf>
    <xf numFmtId="164" fontId="0" fillId="0" borderId="0" xfId="0" applyNumberFormat="1" applyFont="1" applyAlignment="1">
      <alignment/>
    </xf>
    <xf numFmtId="1" fontId="2" fillId="0" borderId="11" xfId="0" applyNumberFormat="1" applyFont="1" applyBorder="1" applyAlignment="1">
      <alignment/>
    </xf>
    <xf numFmtId="1" fontId="0" fillId="0" borderId="0" xfId="0" applyNumberFormat="1" applyFont="1" applyAlignment="1">
      <alignment/>
    </xf>
    <xf numFmtId="0" fontId="42" fillId="0" borderId="0" xfId="0" applyFont="1" applyAlignment="1">
      <alignment/>
    </xf>
    <xf numFmtId="0" fontId="42" fillId="0" borderId="0" xfId="0" applyFont="1" applyAlignment="1">
      <alignment vertical="top" wrapText="1"/>
    </xf>
    <xf numFmtId="2" fontId="42" fillId="0" borderId="0" xfId="0" applyNumberFormat="1" applyFont="1" applyAlignment="1">
      <alignment vertical="top" wrapText="1"/>
    </xf>
    <xf numFmtId="0" fontId="119" fillId="0" borderId="0" xfId="0" applyFont="1" applyAlignment="1">
      <alignment vertical="top" wrapText="1"/>
    </xf>
    <xf numFmtId="0" fontId="121" fillId="0" borderId="0" xfId="0" applyFont="1" applyAlignment="1">
      <alignment vertical="top" wrapText="1"/>
    </xf>
    <xf numFmtId="2" fontId="121" fillId="0" borderId="0" xfId="0" applyNumberFormat="1" applyFont="1" applyAlignment="1">
      <alignment vertical="top" wrapText="1"/>
    </xf>
    <xf numFmtId="164" fontId="0" fillId="0" borderId="0" xfId="0" applyNumberFormat="1" applyFont="1" applyAlignment="1">
      <alignment vertical="top" wrapText="1"/>
    </xf>
    <xf numFmtId="164" fontId="113" fillId="0" borderId="0" xfId="0" applyNumberFormat="1" applyFont="1" applyAlignment="1">
      <alignment/>
    </xf>
    <xf numFmtId="0" fontId="0" fillId="0" borderId="0" xfId="0" applyFont="1" applyBorder="1" applyAlignment="1">
      <alignment horizontal="right"/>
    </xf>
    <xf numFmtId="0" fontId="0" fillId="0" borderId="0" xfId="0" applyFont="1" applyAlignment="1">
      <alignment horizontal="right" vertical="top" wrapText="1"/>
    </xf>
    <xf numFmtId="0" fontId="0" fillId="0" borderId="0" xfId="0" applyAlignment="1">
      <alignment/>
    </xf>
    <xf numFmtId="0" fontId="89" fillId="0" borderId="0" xfId="55" applyFont="1">
      <alignment/>
      <protection/>
    </xf>
    <xf numFmtId="0" fontId="2" fillId="0" borderId="0" xfId="59" applyFont="1" applyBorder="1" applyAlignment="1">
      <alignment horizontal="center"/>
      <protection/>
    </xf>
    <xf numFmtId="2" fontId="2" fillId="0" borderId="0" xfId="59" applyNumberFormat="1" applyFont="1" applyBorder="1">
      <alignment/>
      <protection/>
    </xf>
    <xf numFmtId="0" fontId="2" fillId="0" borderId="11" xfId="59" applyFont="1" applyBorder="1" applyAlignment="1">
      <alignment horizontal="left" vertical="center" wrapText="1"/>
      <protection/>
    </xf>
    <xf numFmtId="2" fontId="16" fillId="0" borderId="11" xfId="59" applyNumberFormat="1" applyFont="1" applyBorder="1" applyAlignment="1">
      <alignment vertical="center"/>
      <protection/>
    </xf>
    <xf numFmtId="1" fontId="2" fillId="0" borderId="0" xfId="0" applyNumberFormat="1" applyFont="1" applyAlignment="1">
      <alignment vertical="top" wrapText="1"/>
    </xf>
    <xf numFmtId="0" fontId="89" fillId="0" borderId="0" xfId="55" applyFont="1">
      <alignment/>
      <protection/>
    </xf>
    <xf numFmtId="0" fontId="0" fillId="33" borderId="0" xfId="0" applyFill="1" applyBorder="1" applyAlignment="1">
      <alignment/>
    </xf>
    <xf numFmtId="1" fontId="0" fillId="0" borderId="0" xfId="0" applyNumberFormat="1" applyFont="1" applyBorder="1" applyAlignment="1">
      <alignment/>
    </xf>
    <xf numFmtId="0" fontId="6" fillId="0" borderId="0" xfId="55" applyFont="1" applyAlignment="1">
      <alignment horizontal="center"/>
      <protection/>
    </xf>
    <xf numFmtId="2" fontId="2" fillId="0" borderId="0" xfId="0" applyNumberFormat="1" applyFont="1" applyAlignment="1">
      <alignment/>
    </xf>
    <xf numFmtId="1" fontId="2" fillId="0" borderId="0" xfId="0" applyNumberFormat="1" applyFont="1" applyAlignment="1">
      <alignment/>
    </xf>
    <xf numFmtId="1" fontId="0" fillId="0" borderId="0" xfId="0" applyNumberFormat="1" applyFill="1" applyBorder="1" applyAlignment="1">
      <alignment/>
    </xf>
    <xf numFmtId="0" fontId="122" fillId="0" borderId="11" xfId="0" applyFont="1" applyBorder="1" applyAlignment="1">
      <alignment vertical="center" wrapText="1"/>
    </xf>
    <xf numFmtId="0" fontId="0" fillId="0" borderId="11" xfId="55" applyFont="1" applyBorder="1" applyAlignment="1">
      <alignment horizontal="left" vertical="center"/>
      <protection/>
    </xf>
    <xf numFmtId="0" fontId="0" fillId="0" borderId="11" xfId="55" applyFont="1" applyBorder="1" applyAlignment="1">
      <alignment horizontal="left"/>
      <protection/>
    </xf>
    <xf numFmtId="0" fontId="110" fillId="0" borderId="11" xfId="0" applyFont="1" applyBorder="1" applyAlignment="1">
      <alignment horizontal="right" vertical="center" wrapText="1"/>
    </xf>
    <xf numFmtId="0" fontId="0" fillId="0" borderId="11" xfId="0" applyFont="1" applyBorder="1" applyAlignment="1">
      <alignment horizontal="right"/>
    </xf>
    <xf numFmtId="0" fontId="12" fillId="0" borderId="11" xfId="60" applyFont="1" applyBorder="1" applyAlignment="1" quotePrefix="1">
      <alignment horizontal="center" vertical="center" wrapText="1"/>
      <protection/>
    </xf>
    <xf numFmtId="1" fontId="89" fillId="0" borderId="0" xfId="55" applyNumberFormat="1">
      <alignment/>
      <protection/>
    </xf>
    <xf numFmtId="1" fontId="2" fillId="0" borderId="0" xfId="0" applyNumberFormat="1" applyFont="1" applyBorder="1" applyAlignment="1">
      <alignment/>
    </xf>
    <xf numFmtId="1" fontId="2" fillId="0" borderId="0" xfId="0" applyNumberFormat="1" applyFont="1" applyBorder="1" applyAlignment="1">
      <alignment horizontal="right" vertical="top" wrapText="1"/>
    </xf>
    <xf numFmtId="1" fontId="0" fillId="0" borderId="0" xfId="0" applyNumberFormat="1" applyFont="1" applyBorder="1" applyAlignment="1">
      <alignment horizontal="right"/>
    </xf>
    <xf numFmtId="0" fontId="31" fillId="0" borderId="0" xfId="0" applyFont="1" applyAlignment="1">
      <alignment horizontal="center" wrapText="1"/>
    </xf>
    <xf numFmtId="0" fontId="13" fillId="0" borderId="0" xfId="0" applyFont="1" applyAlignment="1">
      <alignment horizontal="left"/>
    </xf>
    <xf numFmtId="0" fontId="16" fillId="0" borderId="0" xfId="0" applyFont="1" applyBorder="1" applyAlignment="1">
      <alignment horizontal="right"/>
    </xf>
    <xf numFmtId="0" fontId="2" fillId="0" borderId="0" xfId="56" applyFont="1">
      <alignment/>
      <protection/>
    </xf>
    <xf numFmtId="0" fontId="2" fillId="0" borderId="0" xfId="56" applyFont="1" applyAlignment="1">
      <alignment horizontal="center" vertical="top" wrapText="1"/>
      <protection/>
    </xf>
    <xf numFmtId="0" fontId="34" fillId="0" borderId="10" xfId="0" applyFont="1" applyBorder="1" applyAlignment="1">
      <alignment vertical="center" wrapText="1"/>
    </xf>
    <xf numFmtId="0" fontId="34" fillId="33" borderId="11" xfId="0" applyFont="1" applyFill="1" applyBorder="1" applyAlignment="1">
      <alignment horizontal="center" vertical="center" wrapText="1"/>
    </xf>
    <xf numFmtId="0" fontId="0" fillId="33" borderId="11" xfId="0" applyFill="1" applyBorder="1" applyAlignment="1">
      <alignment vertical="center"/>
    </xf>
    <xf numFmtId="0" fontId="2" fillId="33" borderId="11" xfId="0" applyFont="1" applyFill="1" applyBorder="1" applyAlignment="1">
      <alignment vertical="center"/>
    </xf>
    <xf numFmtId="0" fontId="2" fillId="33" borderId="11" xfId="0" applyFont="1" applyFill="1" applyBorder="1" applyAlignment="1">
      <alignment horizontal="center" vertical="center" wrapText="1"/>
    </xf>
    <xf numFmtId="0" fontId="2" fillId="33" borderId="0" xfId="0" applyFont="1" applyFill="1" applyAlignment="1">
      <alignment horizontal="left"/>
    </xf>
    <xf numFmtId="2" fontId="0" fillId="0" borderId="10" xfId="0" applyNumberFormat="1" applyFont="1" applyBorder="1" applyAlignment="1">
      <alignment/>
    </xf>
    <xf numFmtId="0" fontId="35" fillId="0" borderId="12" xfId="0" applyFont="1" applyBorder="1" applyAlignment="1">
      <alignment horizontal="center" vertical="center" wrapText="1"/>
    </xf>
    <xf numFmtId="0" fontId="2" fillId="33" borderId="11" xfId="0" applyFont="1" applyFill="1" applyBorder="1" applyAlignment="1">
      <alignment horizontal="center" vertical="center"/>
    </xf>
    <xf numFmtId="0" fontId="89" fillId="0" borderId="0" xfId="55" applyAlignment="1">
      <alignment/>
      <protection/>
    </xf>
    <xf numFmtId="0" fontId="11" fillId="0" borderId="0" xfId="0" applyFont="1" applyBorder="1" applyAlignment="1">
      <alignment horizontal="left" vertical="top" wrapText="1"/>
    </xf>
    <xf numFmtId="0" fontId="18" fillId="0" borderId="0" xfId="55" applyFont="1" applyAlignment="1">
      <alignment vertical="center"/>
      <protection/>
    </xf>
    <xf numFmtId="0" fontId="2" fillId="33" borderId="11" xfId="0" applyFont="1" applyFill="1" applyBorder="1" applyAlignment="1">
      <alignment horizontal="center" vertical="center" wrapText="1"/>
    </xf>
    <xf numFmtId="2" fontId="12" fillId="0" borderId="11" xfId="60" applyNumberFormat="1" applyFont="1" applyBorder="1" applyAlignment="1" quotePrefix="1">
      <alignment horizontal="right" vertical="center" wrapText="1"/>
      <protection/>
    </xf>
    <xf numFmtId="0" fontId="14" fillId="0" borderId="11" xfId="60" applyFont="1" applyBorder="1" applyAlignment="1">
      <alignment horizontal="center"/>
      <protection/>
    </xf>
    <xf numFmtId="2" fontId="2" fillId="0" borderId="0" xfId="55" applyNumberFormat="1" applyFont="1">
      <alignment/>
      <protection/>
    </xf>
    <xf numFmtId="1" fontId="89" fillId="0" borderId="0" xfId="55" applyNumberFormat="1" applyFont="1">
      <alignment/>
      <protection/>
    </xf>
    <xf numFmtId="0" fontId="89" fillId="0" borderId="11" xfId="55" applyFont="1" applyBorder="1">
      <alignment/>
      <protection/>
    </xf>
    <xf numFmtId="0" fontId="0" fillId="0" borderId="0" xfId="0" applyFont="1" applyAlignment="1">
      <alignment vertical="center" wrapText="1"/>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9" fillId="0" borderId="0" xfId="0" applyFont="1" applyBorder="1" applyAlignment="1">
      <alignment vertical="center"/>
    </xf>
    <xf numFmtId="0" fontId="0" fillId="0" borderId="11" xfId="58" applyBorder="1" applyAlignment="1">
      <alignment vertical="center"/>
      <protection/>
    </xf>
    <xf numFmtId="1" fontId="0" fillId="0" borderId="11" xfId="58" applyNumberFormat="1" applyBorder="1" applyAlignment="1">
      <alignment vertical="center"/>
      <protection/>
    </xf>
    <xf numFmtId="0" fontId="2" fillId="0" borderId="11" xfId="58" applyFont="1" applyBorder="1" applyAlignment="1">
      <alignment vertical="center"/>
      <protection/>
    </xf>
    <xf numFmtId="1" fontId="0" fillId="0" borderId="0" xfId="0" applyNumberFormat="1" applyFont="1" applyFill="1" applyBorder="1" applyAlignment="1">
      <alignment/>
    </xf>
    <xf numFmtId="0" fontId="104" fillId="0" borderId="11" xfId="0" applyFont="1" applyBorder="1" applyAlignment="1">
      <alignment horizontal="center" vertical="center" wrapText="1"/>
    </xf>
    <xf numFmtId="2" fontId="0" fillId="0" borderId="11" xfId="59" applyNumberFormat="1" applyFont="1" applyBorder="1">
      <alignment/>
      <protection/>
    </xf>
    <xf numFmtId="2" fontId="123" fillId="0" borderId="11" xfId="59" applyNumberFormat="1" applyFont="1" applyBorder="1">
      <alignment/>
      <protection/>
    </xf>
    <xf numFmtId="2" fontId="0" fillId="0" borderId="11" xfId="59" applyNumberFormat="1" applyBorder="1" applyAlignment="1">
      <alignment vertical="center"/>
      <protection/>
    </xf>
    <xf numFmtId="0" fontId="0" fillId="34" borderId="0" xfId="0" applyFont="1" applyFill="1" applyAlignment="1">
      <alignment/>
    </xf>
    <xf numFmtId="1" fontId="0" fillId="33" borderId="0" xfId="0" applyNumberFormat="1" applyFont="1" applyFill="1" applyAlignment="1">
      <alignment/>
    </xf>
    <xf numFmtId="0" fontId="2" fillId="0" borderId="21" xfId="0" applyFont="1" applyFill="1" applyBorder="1" applyAlignment="1">
      <alignment/>
    </xf>
    <xf numFmtId="0" fontId="2" fillId="33" borderId="11" xfId="0" applyFont="1" applyFill="1" applyBorder="1" applyAlignment="1">
      <alignment horizontal="center" vertical="center" wrapText="1"/>
    </xf>
    <xf numFmtId="0" fontId="35" fillId="0" borderId="14" xfId="0" applyFont="1" applyBorder="1" applyAlignment="1" quotePrefix="1">
      <alignment horizontal="center" vertical="top" wrapText="1"/>
    </xf>
    <xf numFmtId="0" fontId="34" fillId="33" borderId="29" xfId="0" applyFont="1" applyFill="1" applyBorder="1" applyAlignment="1">
      <alignment horizontal="center" vertical="center" wrapText="1"/>
    </xf>
    <xf numFmtId="0" fontId="89" fillId="0" borderId="11" xfId="0" applyFont="1" applyBorder="1" applyAlignment="1">
      <alignment horizontal="center"/>
    </xf>
    <xf numFmtId="0" fontId="78" fillId="0" borderId="11" xfId="58" applyFont="1" applyBorder="1">
      <alignment/>
      <protection/>
    </xf>
    <xf numFmtId="0" fontId="78" fillId="0" borderId="11" xfId="0" applyFont="1" applyBorder="1" applyAlignment="1">
      <alignment horizontal="left"/>
    </xf>
    <xf numFmtId="0" fontId="17" fillId="0" borderId="0" xfId="55" applyFont="1" applyBorder="1" applyAlignment="1">
      <alignment horizontal="left"/>
      <protection/>
    </xf>
    <xf numFmtId="0" fontId="89" fillId="0" borderId="0" xfId="55" applyBorder="1" applyAlignment="1">
      <alignment horizontal="center"/>
      <protection/>
    </xf>
    <xf numFmtId="0" fontId="5" fillId="0" borderId="0" xfId="0" applyFont="1" applyAlignment="1">
      <alignment/>
    </xf>
    <xf numFmtId="0" fontId="17" fillId="0" borderId="0" xfId="55" applyFont="1">
      <alignment/>
      <protection/>
    </xf>
    <xf numFmtId="0" fontId="16" fillId="0" borderId="12" xfId="0" applyFont="1" applyBorder="1" applyAlignment="1">
      <alignment horizontal="center" vertical="top" wrapText="1"/>
    </xf>
    <xf numFmtId="0" fontId="5" fillId="0" borderId="0" xfId="0" applyFont="1" applyAlignment="1">
      <alignment vertical="top" wrapText="1"/>
    </xf>
    <xf numFmtId="0" fontId="16" fillId="33" borderId="11" xfId="0" applyFont="1" applyFill="1" applyBorder="1" applyAlignment="1">
      <alignment horizontal="center" vertical="top" wrapText="1"/>
    </xf>
    <xf numFmtId="0" fontId="48" fillId="0" borderId="0" xfId="55" applyFont="1" applyAlignment="1">
      <alignment/>
      <protection/>
    </xf>
    <xf numFmtId="0" fontId="49" fillId="0" borderId="0" xfId="0" applyFont="1" applyBorder="1" applyAlignment="1">
      <alignment/>
    </xf>
    <xf numFmtId="2" fontId="0" fillId="33" borderId="11" xfId="0" applyNumberFormat="1" applyFont="1" applyFill="1" applyBorder="1" applyAlignment="1">
      <alignment/>
    </xf>
    <xf numFmtId="2" fontId="12" fillId="0" borderId="11" xfId="0" applyNumberFormat="1" applyFont="1" applyBorder="1" applyAlignment="1">
      <alignment/>
    </xf>
    <xf numFmtId="0" fontId="14" fillId="0" borderId="11" xfId="0" applyFont="1" applyBorder="1" applyAlignment="1">
      <alignment/>
    </xf>
    <xf numFmtId="2" fontId="14" fillId="0" borderId="11" xfId="0" applyNumberFormat="1" applyFont="1" applyBorder="1" applyAlignment="1">
      <alignment/>
    </xf>
    <xf numFmtId="0" fontId="2" fillId="0" borderId="11" xfId="59" applyFont="1" applyBorder="1" applyAlignment="1">
      <alignment horizontal="left" vertical="center"/>
      <protection/>
    </xf>
    <xf numFmtId="0" fontId="2" fillId="0" borderId="11" xfId="59" applyFont="1" applyBorder="1" applyAlignment="1" quotePrefix="1">
      <alignment horizontal="center" vertical="center"/>
      <protection/>
    </xf>
    <xf numFmtId="17" fontId="112" fillId="0" borderId="11" xfId="0" applyNumberFormat="1" applyFont="1" applyBorder="1" applyAlignment="1">
      <alignment horizontal="center" vertical="center" wrapText="1"/>
    </xf>
    <xf numFmtId="0" fontId="104" fillId="0" borderId="11" xfId="0" applyFont="1" applyBorder="1" applyAlignment="1">
      <alignment horizontal="left" vertical="top" wrapText="1"/>
    </xf>
    <xf numFmtId="0" fontId="124" fillId="35" borderId="11" xfId="0" applyFont="1" applyFill="1" applyBorder="1" applyAlignment="1">
      <alignment horizontal="center" vertical="center" wrapText="1"/>
    </xf>
    <xf numFmtId="0" fontId="124" fillId="35" borderId="11" xfId="0" applyFont="1" applyFill="1" applyBorder="1" applyAlignment="1">
      <alignment vertical="center" wrapText="1"/>
    </xf>
    <xf numFmtId="0" fontId="124" fillId="35" borderId="11" xfId="0" applyFont="1" applyFill="1" applyBorder="1" applyAlignment="1">
      <alignment/>
    </xf>
    <xf numFmtId="0" fontId="125" fillId="0" borderId="11" xfId="0" applyFont="1" applyBorder="1" applyAlignment="1">
      <alignment vertical="center" wrapText="1"/>
    </xf>
    <xf numFmtId="0" fontId="112" fillId="0" borderId="11" xfId="0" applyFont="1" applyBorder="1" applyAlignment="1">
      <alignment horizontal="left" vertical="center" wrapText="1"/>
    </xf>
    <xf numFmtId="2" fontId="2" fillId="0" borderId="0" xfId="0" applyNumberFormat="1" applyFont="1" applyBorder="1" applyAlignment="1">
      <alignment horizontal="right"/>
    </xf>
    <xf numFmtId="2" fontId="116" fillId="0" borderId="0" xfId="0" applyNumberFormat="1" applyFont="1" applyBorder="1" applyAlignment="1">
      <alignment horizontal="right"/>
    </xf>
    <xf numFmtId="1" fontId="0" fillId="0" borderId="24" xfId="0" applyNumberFormat="1" applyFont="1" applyFill="1" applyBorder="1" applyAlignment="1">
      <alignment/>
    </xf>
    <xf numFmtId="1" fontId="33" fillId="0" borderId="11" xfId="0" applyNumberFormat="1" applyFont="1" applyBorder="1" applyAlignment="1" quotePrefix="1">
      <alignment horizontal="right" vertical="top" wrapText="1"/>
    </xf>
    <xf numFmtId="1" fontId="2" fillId="0" borderId="11" xfId="0" applyNumberFormat="1" applyFont="1" applyBorder="1" applyAlignment="1">
      <alignment horizontal="right"/>
    </xf>
    <xf numFmtId="0" fontId="2" fillId="0" borderId="0" xfId="56" applyFont="1" applyAlignment="1">
      <alignment vertical="top" wrapText="1"/>
      <protection/>
    </xf>
    <xf numFmtId="0" fontId="2" fillId="0" borderId="0" xfId="56" applyFont="1" applyAlignment="1">
      <alignment/>
      <protection/>
    </xf>
    <xf numFmtId="1" fontId="0" fillId="33" borderId="0" xfId="0" applyNumberFormat="1" applyFont="1" applyFill="1" applyBorder="1" applyAlignment="1">
      <alignment/>
    </xf>
    <xf numFmtId="1" fontId="18" fillId="0" borderId="11" xfId="55" applyNumberFormat="1" applyFont="1" applyBorder="1" applyAlignment="1">
      <alignment wrapText="1"/>
      <protection/>
    </xf>
    <xf numFmtId="0" fontId="12" fillId="0" borderId="0" xfId="0" applyFont="1" applyBorder="1" applyAlignment="1">
      <alignment/>
    </xf>
    <xf numFmtId="0" fontId="14" fillId="0" borderId="0" xfId="0" applyFont="1" applyBorder="1" applyAlignment="1">
      <alignment/>
    </xf>
    <xf numFmtId="1" fontId="17" fillId="0" borderId="0" xfId="55" applyNumberFormat="1" applyFont="1" applyAlignment="1">
      <alignment horizontal="center"/>
      <protection/>
    </xf>
    <xf numFmtId="0" fontId="18" fillId="0" borderId="11" xfId="55" applyFont="1" applyBorder="1" applyAlignment="1">
      <alignment horizontal="right" vertical="top" wrapText="1"/>
      <protection/>
    </xf>
    <xf numFmtId="0" fontId="27" fillId="0" borderId="11" xfId="55" applyFont="1" applyBorder="1" applyAlignment="1">
      <alignment horizontal="center" vertical="top" wrapText="1"/>
      <protection/>
    </xf>
    <xf numFmtId="0" fontId="27" fillId="0" borderId="11" xfId="55" applyFont="1" applyBorder="1" applyAlignment="1">
      <alignment horizontal="center"/>
      <protection/>
    </xf>
    <xf numFmtId="2" fontId="18" fillId="0" borderId="11" xfId="55" applyNumberFormat="1" applyFont="1" applyBorder="1" applyAlignment="1">
      <alignment horizontal="right" vertical="top" wrapText="1"/>
      <protection/>
    </xf>
    <xf numFmtId="2" fontId="19" fillId="0" borderId="11" xfId="55" applyNumberFormat="1" applyFont="1" applyBorder="1" applyAlignment="1">
      <alignment horizontal="right" vertical="top" wrapText="1"/>
      <protection/>
    </xf>
    <xf numFmtId="0" fontId="0" fillId="0" borderId="10" xfId="0" applyBorder="1" applyAlignment="1">
      <alignment/>
    </xf>
    <xf numFmtId="0" fontId="0" fillId="0" borderId="21" xfId="0" applyBorder="1" applyAlignment="1">
      <alignment/>
    </xf>
    <xf numFmtId="0" fontId="50" fillId="0" borderId="11" xfId="0" applyFont="1" applyBorder="1" applyAlignment="1" quotePrefix="1">
      <alignment horizontal="center" vertical="top" wrapText="1"/>
    </xf>
    <xf numFmtId="0" fontId="50" fillId="0" borderId="11" xfId="0" applyFont="1" applyBorder="1" applyAlignment="1">
      <alignment horizontal="center" vertical="center" wrapText="1"/>
    </xf>
    <xf numFmtId="2" fontId="116" fillId="0" borderId="0" xfId="0" applyNumberFormat="1" applyFont="1" applyAlignment="1">
      <alignment/>
    </xf>
    <xf numFmtId="2" fontId="0" fillId="0" borderId="0" xfId="0" applyNumberFormat="1" applyFont="1" applyBorder="1" applyAlignment="1">
      <alignment/>
    </xf>
    <xf numFmtId="2" fontId="0" fillId="33" borderId="11" xfId="59" applyNumberFormat="1" applyFill="1" applyBorder="1">
      <alignment/>
      <protection/>
    </xf>
    <xf numFmtId="2" fontId="2" fillId="33" borderId="11" xfId="59" applyNumberFormat="1" applyFont="1" applyFill="1" applyBorder="1">
      <alignment/>
      <protection/>
    </xf>
    <xf numFmtId="2" fontId="0" fillId="33" borderId="11" xfId="59" applyNumberFormat="1" applyFill="1" applyBorder="1" applyAlignment="1">
      <alignment vertical="center"/>
      <protection/>
    </xf>
    <xf numFmtId="0" fontId="12" fillId="0" borderId="0" xfId="60" applyFont="1" applyAlignment="1">
      <alignment horizontal="left"/>
      <protection/>
    </xf>
    <xf numFmtId="0" fontId="2" fillId="33" borderId="11" xfId="0" applyFont="1" applyFill="1" applyBorder="1" applyAlignment="1">
      <alignment horizontal="center"/>
    </xf>
    <xf numFmtId="2" fontId="14" fillId="33" borderId="11" xfId="0" applyNumberFormat="1" applyFont="1" applyFill="1" applyBorder="1" applyAlignment="1">
      <alignment horizontal="center"/>
    </xf>
    <xf numFmtId="0" fontId="14" fillId="0" borderId="0" xfId="60" applyFont="1" applyAlignment="1">
      <alignment horizontal="left"/>
      <protection/>
    </xf>
    <xf numFmtId="0" fontId="14" fillId="0" borderId="0" xfId="60" applyFont="1">
      <alignment/>
      <protection/>
    </xf>
    <xf numFmtId="0" fontId="0" fillId="0" borderId="0" xfId="60" applyFont="1" applyAlignment="1">
      <alignment horizontal="left"/>
      <protection/>
    </xf>
    <xf numFmtId="2" fontId="11" fillId="33" borderId="11" xfId="55" applyNumberFormat="1" applyFont="1" applyFill="1" applyBorder="1" applyAlignment="1">
      <alignment horizontal="right"/>
      <protection/>
    </xf>
    <xf numFmtId="1" fontId="0" fillId="33" borderId="0" xfId="0" applyNumberFormat="1" applyFill="1" applyBorder="1" applyAlignment="1">
      <alignment/>
    </xf>
    <xf numFmtId="2" fontId="0" fillId="33" borderId="11" xfId="0" applyNumberFormat="1" applyFill="1" applyBorder="1" applyAlignment="1">
      <alignment/>
    </xf>
    <xf numFmtId="2" fontId="0" fillId="33" borderId="11" xfId="0" applyNumberFormat="1" applyFont="1" applyFill="1" applyBorder="1" applyAlignment="1">
      <alignment horizontal="center" vertical="top" wrapText="1"/>
    </xf>
    <xf numFmtId="0" fontId="0" fillId="0" borderId="21" xfId="0" applyFont="1" applyFill="1" applyBorder="1" applyAlignment="1">
      <alignment/>
    </xf>
    <xf numFmtId="0" fontId="0" fillId="0" borderId="27" xfId="0" applyFont="1" applyFill="1" applyBorder="1" applyAlignment="1">
      <alignment/>
    </xf>
    <xf numFmtId="0" fontId="0" fillId="33" borderId="11" xfId="0" applyFont="1" applyFill="1" applyBorder="1" applyAlignment="1">
      <alignment vertical="center"/>
    </xf>
    <xf numFmtId="0" fontId="0" fillId="0" borderId="0" xfId="0" applyFont="1" applyFill="1" applyBorder="1" applyAlignment="1">
      <alignment/>
    </xf>
    <xf numFmtId="0" fontId="0" fillId="33" borderId="11" xfId="0" applyFont="1" applyFill="1" applyBorder="1" applyAlignment="1">
      <alignment horizontal="right" vertical="top" wrapText="1"/>
    </xf>
    <xf numFmtId="0" fontId="50" fillId="33" borderId="11" xfId="0" applyFont="1" applyFill="1" applyBorder="1" applyAlignment="1" quotePrefix="1">
      <alignment horizontal="right" vertical="top" wrapText="1"/>
    </xf>
    <xf numFmtId="0" fontId="2" fillId="0" borderId="11" xfId="0" applyFont="1" applyBorder="1" applyAlignment="1">
      <alignment horizontal="right"/>
    </xf>
    <xf numFmtId="0" fontId="7" fillId="0" borderId="0" xfId="55" applyFont="1">
      <alignment/>
      <protection/>
    </xf>
    <xf numFmtId="0" fontId="89" fillId="33" borderId="0" xfId="55" applyFill="1" applyBorder="1">
      <alignment/>
      <protection/>
    </xf>
    <xf numFmtId="0" fontId="89" fillId="33" borderId="11" xfId="55" applyFill="1" applyBorder="1">
      <alignment/>
      <protection/>
    </xf>
    <xf numFmtId="164" fontId="89" fillId="33" borderId="11" xfId="55" applyNumberFormat="1" applyFill="1" applyBorder="1">
      <alignment/>
      <protection/>
    </xf>
    <xf numFmtId="2" fontId="89" fillId="33" borderId="11" xfId="55" applyNumberFormat="1" applyFill="1" applyBorder="1">
      <alignment/>
      <protection/>
    </xf>
    <xf numFmtId="0" fontId="19" fillId="33" borderId="11" xfId="55" applyFont="1" applyFill="1" applyBorder="1" applyAlignment="1">
      <alignment horizontal="right" vertical="top" wrapText="1"/>
      <protection/>
    </xf>
    <xf numFmtId="2" fontId="19" fillId="33" borderId="11" xfId="55" applyNumberFormat="1" applyFont="1" applyFill="1" applyBorder="1" applyAlignment="1">
      <alignment horizontal="right" vertical="top" wrapText="1"/>
      <protection/>
    </xf>
    <xf numFmtId="0" fontId="12" fillId="33" borderId="11" xfId="0" applyFont="1" applyFill="1" applyBorder="1" applyAlignment="1">
      <alignment/>
    </xf>
    <xf numFmtId="2" fontId="12" fillId="33" borderId="11" xfId="0" applyNumberFormat="1" applyFont="1" applyFill="1" applyBorder="1" applyAlignment="1">
      <alignment/>
    </xf>
    <xf numFmtId="0" fontId="14" fillId="33" borderId="11" xfId="0" applyFont="1" applyFill="1" applyBorder="1" applyAlignment="1">
      <alignment/>
    </xf>
    <xf numFmtId="2" fontId="14" fillId="33" borderId="11" xfId="0" applyNumberFormat="1" applyFont="1" applyFill="1" applyBorder="1" applyAlignment="1">
      <alignment/>
    </xf>
    <xf numFmtId="0" fontId="18" fillId="33" borderId="11" xfId="55" applyFont="1" applyFill="1" applyBorder="1">
      <alignment/>
      <protection/>
    </xf>
    <xf numFmtId="2" fontId="2" fillId="33" borderId="0" xfId="59" applyNumberFormat="1" applyFont="1" applyFill="1" applyBorder="1">
      <alignment/>
      <protection/>
    </xf>
    <xf numFmtId="0" fontId="0" fillId="34" borderId="0" xfId="0" applyFont="1" applyFill="1" applyBorder="1" applyAlignment="1">
      <alignment horizontal="center"/>
    </xf>
    <xf numFmtId="0" fontId="0" fillId="34" borderId="0" xfId="0" applyFont="1" applyFill="1" applyBorder="1" applyAlignment="1">
      <alignment/>
    </xf>
    <xf numFmtId="0" fontId="0" fillId="34" borderId="0" xfId="0" applyFont="1" applyFill="1" applyBorder="1" applyAlignment="1">
      <alignment/>
    </xf>
    <xf numFmtId="0" fontId="0" fillId="0" borderId="11" xfId="0" applyFill="1" applyBorder="1" applyAlignment="1">
      <alignment horizontal="center"/>
    </xf>
    <xf numFmtId="0" fontId="14" fillId="0" borderId="0" xfId="0" applyFont="1" applyAlignment="1">
      <alignment horizontal="center"/>
    </xf>
    <xf numFmtId="0" fontId="47" fillId="0" borderId="0" xfId="0" applyFont="1" applyAlignment="1">
      <alignment horizontal="center" vertical="center" wrapText="1"/>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11" xfId="0" applyFont="1" applyBorder="1" applyAlignment="1">
      <alignment horizontal="center"/>
    </xf>
    <xf numFmtId="0" fontId="2" fillId="0" borderId="0" xfId="0" applyFont="1" applyBorder="1" applyAlignment="1">
      <alignment horizontal="left"/>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2" fontId="2" fillId="0" borderId="11" xfId="0" applyNumberFormat="1" applyFont="1" applyBorder="1" applyAlignment="1">
      <alignment horizontal="center"/>
    </xf>
    <xf numFmtId="0" fontId="2" fillId="0" borderId="11" xfId="0" applyFont="1" applyBorder="1" applyAlignment="1">
      <alignment horizontal="center" vertical="center" wrapText="1"/>
    </xf>
    <xf numFmtId="0" fontId="2" fillId="0" borderId="11" xfId="0" applyFont="1" applyBorder="1" applyAlignment="1">
      <alignment horizontal="center" vertical="top"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2" xfId="0" applyFont="1" applyBorder="1" applyAlignment="1">
      <alignment horizontal="center"/>
    </xf>
    <xf numFmtId="0" fontId="2" fillId="0" borderId="29"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20" xfId="0" applyFont="1" applyBorder="1" applyAlignment="1">
      <alignment horizontal="center" vertical="top"/>
    </xf>
    <xf numFmtId="0" fontId="2" fillId="0" borderId="19" xfId="0" applyFont="1" applyBorder="1" applyAlignment="1">
      <alignment horizontal="center" vertical="top"/>
    </xf>
    <xf numFmtId="0" fontId="2" fillId="0" borderId="28" xfId="0" applyFont="1" applyBorder="1" applyAlignment="1">
      <alignment horizontal="center" vertical="top"/>
    </xf>
    <xf numFmtId="0" fontId="2" fillId="0" borderId="14" xfId="0" applyFont="1" applyBorder="1" applyAlignment="1">
      <alignment horizontal="center" vertical="top" wrapText="1"/>
    </xf>
    <xf numFmtId="0" fontId="2" fillId="0" borderId="22" xfId="0" applyFont="1" applyBorder="1" applyAlignment="1">
      <alignment horizontal="center" vertical="top" wrapText="1"/>
    </xf>
    <xf numFmtId="0" fontId="2" fillId="0" borderId="15" xfId="0" applyFont="1" applyBorder="1" applyAlignment="1">
      <alignment horizontal="center" vertical="top" wrapText="1"/>
    </xf>
    <xf numFmtId="0" fontId="2" fillId="0" borderId="0" xfId="0" applyFont="1" applyAlignment="1">
      <alignment horizontal="center" vertical="top" wrapText="1"/>
    </xf>
    <xf numFmtId="0" fontId="2" fillId="33" borderId="14" xfId="0" applyFont="1" applyFill="1" applyBorder="1" applyAlignment="1">
      <alignment horizontal="center"/>
    </xf>
    <xf numFmtId="0" fontId="2" fillId="33" borderId="15" xfId="0" applyFont="1" applyFill="1" applyBorder="1" applyAlignment="1">
      <alignment horizontal="center"/>
    </xf>
    <xf numFmtId="0" fontId="14" fillId="0" borderId="0" xfId="0" applyFont="1" applyBorder="1" applyAlignment="1">
      <alignment horizontal="left" wrapText="1"/>
    </xf>
    <xf numFmtId="0" fontId="14" fillId="0" borderId="11" xfId="0" applyFont="1" applyBorder="1" applyAlignment="1">
      <alignment horizontal="center"/>
    </xf>
    <xf numFmtId="0" fontId="12" fillId="33" borderId="11" xfId="0" applyFont="1" applyFill="1" applyBorder="1" applyAlignment="1">
      <alignment horizontal="center"/>
    </xf>
    <xf numFmtId="0" fontId="12" fillId="0" borderId="11" xfId="0" applyFont="1" applyBorder="1" applyAlignment="1">
      <alignment horizontal="center"/>
    </xf>
    <xf numFmtId="0" fontId="14" fillId="0" borderId="11" xfId="0" applyFont="1" applyBorder="1" applyAlignment="1">
      <alignment horizontal="center" vertical="top" wrapText="1"/>
    </xf>
    <xf numFmtId="0" fontId="14" fillId="0" borderId="11" xfId="0" applyFont="1" applyBorder="1" applyAlignment="1">
      <alignment horizontal="center" wrapText="1"/>
    </xf>
    <xf numFmtId="0" fontId="16" fillId="0" borderId="11" xfId="0" applyFont="1" applyBorder="1" applyAlignment="1" quotePrefix="1">
      <alignment horizontal="center" vertical="top" wrapText="1"/>
    </xf>
    <xf numFmtId="2" fontId="0" fillId="0" borderId="11" xfId="0" applyNumberFormat="1" applyFont="1" applyBorder="1" applyAlignment="1">
      <alignment horizontal="center"/>
    </xf>
    <xf numFmtId="0" fontId="2" fillId="0" borderId="11" xfId="0" applyFont="1" applyBorder="1" applyAlignment="1">
      <alignment horizontal="center" vertical="center"/>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0" fontId="0" fillId="0" borderId="0" xfId="0" applyFont="1" applyBorder="1" applyAlignment="1">
      <alignment horizontal="center"/>
    </xf>
    <xf numFmtId="0" fontId="0" fillId="33" borderId="14" xfId="0" applyFont="1" applyFill="1" applyBorder="1" applyAlignment="1">
      <alignment horizontal="center"/>
    </xf>
    <xf numFmtId="0" fontId="0" fillId="33" borderId="15" xfId="0" applyFont="1" applyFill="1" applyBorder="1" applyAlignment="1">
      <alignment horizontal="center"/>
    </xf>
    <xf numFmtId="0" fontId="16" fillId="0" borderId="14" xfId="0" applyFont="1" applyBorder="1" applyAlignment="1" quotePrefix="1">
      <alignment horizontal="center" vertical="top" wrapText="1"/>
    </xf>
    <xf numFmtId="0" fontId="16" fillId="0" borderId="22" xfId="0" applyFont="1" applyBorder="1" applyAlignment="1" quotePrefix="1">
      <alignment horizontal="center" vertical="top" wrapText="1"/>
    </xf>
    <xf numFmtId="0" fontId="16" fillId="0" borderId="15" xfId="0" applyFont="1" applyBorder="1" applyAlignment="1" quotePrefix="1">
      <alignment horizontal="center" vertical="top" wrapText="1"/>
    </xf>
    <xf numFmtId="0" fontId="2" fillId="0" borderId="14" xfId="0" applyFont="1" applyBorder="1" applyAlignment="1">
      <alignment horizontal="left" vertical="top" wrapText="1"/>
    </xf>
    <xf numFmtId="0" fontId="2" fillId="0" borderId="22"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Alignment="1">
      <alignment horizontal="center"/>
    </xf>
    <xf numFmtId="0" fontId="13" fillId="0" borderId="0" xfId="0" applyFont="1" applyAlignment="1">
      <alignment horizontal="right"/>
    </xf>
    <xf numFmtId="0" fontId="2" fillId="0" borderId="0" xfId="0" applyFont="1" applyAlignment="1">
      <alignment horizontal="left"/>
    </xf>
    <xf numFmtId="0" fontId="0" fillId="0" borderId="11" xfId="0" applyFont="1" applyBorder="1" applyAlignment="1">
      <alignment horizontal="center"/>
    </xf>
    <xf numFmtId="0" fontId="2" fillId="0" borderId="0" xfId="0" applyFont="1" applyAlignment="1">
      <alignment horizontal="left" vertical="top" wrapText="1"/>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106" fillId="0" borderId="19" xfId="0" applyFont="1" applyBorder="1" applyAlignment="1">
      <alignment horizontal="center"/>
    </xf>
    <xf numFmtId="0" fontId="15" fillId="0" borderId="0" xfId="0" applyFont="1" applyAlignment="1">
      <alignment horizontal="center"/>
    </xf>
    <xf numFmtId="0" fontId="2" fillId="0" borderId="0" xfId="58" applyFont="1" applyBorder="1" applyAlignment="1">
      <alignment horizontal="left" vertical="center"/>
      <protection/>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11" xfId="60" applyFont="1" applyBorder="1" applyAlignment="1">
      <alignment horizontal="center" vertical="center" wrapText="1"/>
      <protection/>
    </xf>
    <xf numFmtId="0" fontId="14" fillId="0" borderId="11" xfId="60" applyFont="1" applyBorder="1" applyAlignment="1">
      <alignment horizontal="center" vertical="center" wrapText="1"/>
      <protection/>
    </xf>
    <xf numFmtId="0" fontId="2" fillId="0" borderId="0" xfId="60" applyFont="1" applyAlignment="1">
      <alignment horizontal="left"/>
      <protection/>
    </xf>
    <xf numFmtId="0" fontId="14" fillId="0" borderId="0" xfId="58" applyFont="1" applyAlignment="1">
      <alignment horizontal="center" vertical="top" wrapText="1"/>
      <protection/>
    </xf>
    <xf numFmtId="0" fontId="0" fillId="0" borderId="0" xfId="58" applyFont="1" applyBorder="1" applyAlignment="1">
      <alignment horizontal="left" vertical="center"/>
      <protection/>
    </xf>
    <xf numFmtId="0" fontId="6" fillId="0" borderId="11" xfId="60" applyFont="1" applyBorder="1" applyAlignment="1">
      <alignment horizontal="center" vertical="top" wrapText="1"/>
      <protection/>
    </xf>
    <xf numFmtId="0" fontId="12" fillId="0" borderId="0" xfId="60" applyFont="1" applyAlignment="1">
      <alignment horizontal="left"/>
      <protection/>
    </xf>
    <xf numFmtId="0" fontId="14" fillId="0" borderId="11" xfId="60" applyFont="1" applyBorder="1" applyAlignment="1">
      <alignment horizontal="center" vertical="center"/>
      <protection/>
    </xf>
    <xf numFmtId="0" fontId="6" fillId="0" borderId="0" xfId="58" applyFont="1" applyAlignment="1">
      <alignment horizontal="center"/>
      <protection/>
    </xf>
    <xf numFmtId="0" fontId="10" fillId="0" borderId="0" xfId="58" applyFont="1" applyAlignment="1">
      <alignment horizontal="center"/>
      <protection/>
    </xf>
    <xf numFmtId="0" fontId="5" fillId="0" borderId="0" xfId="58" applyFont="1" applyAlignment="1">
      <alignment horizontal="center"/>
      <protection/>
    </xf>
    <xf numFmtId="0" fontId="25" fillId="0" borderId="0" xfId="58" applyFont="1" applyAlignment="1">
      <alignment horizontal="center"/>
      <protection/>
    </xf>
    <xf numFmtId="0" fontId="30" fillId="0" borderId="0" xfId="58" applyFont="1" applyAlignment="1">
      <alignment horizontal="center"/>
      <protection/>
    </xf>
    <xf numFmtId="0" fontId="16" fillId="0" borderId="19" xfId="60" applyFont="1" applyBorder="1" applyAlignment="1">
      <alignment horizontal="right"/>
      <protection/>
    </xf>
    <xf numFmtId="0" fontId="2" fillId="0" borderId="0" xfId="55" applyFont="1" applyAlignment="1">
      <alignment horizontal="left"/>
      <protection/>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16" fillId="0" borderId="19" xfId="0" applyFont="1" applyBorder="1" applyAlignment="1">
      <alignment horizontal="right"/>
    </xf>
    <xf numFmtId="0" fontId="2" fillId="0" borderId="0" xfId="55" applyFont="1" applyAlignment="1">
      <alignment horizontal="center" vertical="top" wrapText="1"/>
      <protection/>
    </xf>
    <xf numFmtId="0" fontId="3" fillId="0" borderId="0" xfId="0" applyFont="1" applyAlignment="1">
      <alignment horizontal="right"/>
    </xf>
    <xf numFmtId="0" fontId="16" fillId="0" borderId="0" xfId="0" applyFont="1" applyBorder="1" applyAlignment="1">
      <alignment horizontal="center"/>
    </xf>
    <xf numFmtId="0" fontId="0" fillId="0" borderId="0" xfId="0" applyAlignment="1">
      <alignment horizontal="center"/>
    </xf>
    <xf numFmtId="0" fontId="2" fillId="0" borderId="13"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11" fillId="0" borderId="0" xfId="0" applyFont="1" applyAlignment="1">
      <alignment horizontal="center"/>
    </xf>
    <xf numFmtId="0" fontId="5" fillId="0" borderId="0" xfId="0" applyFont="1" applyAlignment="1">
      <alignment horizontal="center" wrapText="1"/>
    </xf>
    <xf numFmtId="0" fontId="2" fillId="0" borderId="22" xfId="0" applyFont="1" applyBorder="1" applyAlignment="1">
      <alignment horizontal="center" vertical="center" wrapText="1"/>
    </xf>
    <xf numFmtId="0" fontId="16" fillId="0" borderId="19" xfId="0" applyFont="1" applyBorder="1" applyAlignment="1">
      <alignment horizontal="center"/>
    </xf>
    <xf numFmtId="0" fontId="44"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lignment horizontal="center"/>
    </xf>
    <xf numFmtId="0" fontId="0" fillId="0" borderId="0" xfId="0" applyFont="1" applyAlignment="1">
      <alignment/>
    </xf>
    <xf numFmtId="0" fontId="4" fillId="0" borderId="29"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0" fontId="4" fillId="0" borderId="19" xfId="0" applyFont="1" applyBorder="1" applyAlignment="1">
      <alignment horizontal="center"/>
    </xf>
    <xf numFmtId="0" fontId="4" fillId="0" borderId="28" xfId="0" applyFont="1" applyBorder="1" applyAlignment="1">
      <alignment horizontal="center"/>
    </xf>
    <xf numFmtId="0" fontId="40" fillId="0" borderId="29"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28" xfId="0" applyFont="1" applyBorder="1" applyAlignment="1">
      <alignment horizontal="center"/>
    </xf>
    <xf numFmtId="0" fontId="0" fillId="0" borderId="0" xfId="0" applyFont="1" applyAlignment="1">
      <alignment horizontal="left"/>
    </xf>
    <xf numFmtId="0" fontId="2" fillId="0" borderId="0" xfId="0" applyFont="1" applyBorder="1" applyAlignment="1">
      <alignment horizontal="right"/>
    </xf>
    <xf numFmtId="0" fontId="119" fillId="0" borderId="0" xfId="0" applyFont="1" applyAlignment="1">
      <alignment horizontal="left" vertical="center"/>
    </xf>
    <xf numFmtId="0" fontId="41" fillId="0" borderId="0" xfId="0" applyFont="1" applyAlignment="1">
      <alignment horizontal="center" vertical="top" wrapText="1"/>
    </xf>
    <xf numFmtId="0" fontId="42" fillId="0" borderId="0" xfId="0" applyFont="1" applyAlignment="1">
      <alignment horizontal="left" vertical="center"/>
    </xf>
    <xf numFmtId="0" fontId="13" fillId="0" borderId="0" xfId="0" applyFont="1" applyAlignment="1">
      <alignment horizontal="left"/>
    </xf>
    <xf numFmtId="0" fontId="4" fillId="0" borderId="0" xfId="0" applyFont="1" applyAlignment="1">
      <alignment horizontal="center"/>
    </xf>
    <xf numFmtId="0" fontId="2" fillId="0" borderId="11" xfId="55" applyFont="1" applyBorder="1" applyAlignment="1">
      <alignment horizontal="center" vertical="center" wrapText="1"/>
      <protection/>
    </xf>
    <xf numFmtId="0" fontId="2" fillId="0" borderId="10" xfId="55" applyFont="1" applyBorder="1" applyAlignment="1">
      <alignment horizontal="center" vertical="center" wrapText="1"/>
      <protection/>
    </xf>
    <xf numFmtId="0" fontId="2" fillId="0" borderId="21" xfId="55" applyFont="1" applyBorder="1" applyAlignment="1">
      <alignment horizontal="center" vertical="center" wrapText="1"/>
      <protection/>
    </xf>
    <xf numFmtId="0" fontId="2" fillId="0" borderId="12" xfId="55" applyFont="1" applyBorder="1" applyAlignment="1">
      <alignment horizontal="center" vertical="center" wrapText="1"/>
      <protection/>
    </xf>
    <xf numFmtId="0" fontId="2" fillId="0" borderId="0" xfId="0" applyFont="1" applyBorder="1" applyAlignment="1">
      <alignment horizontal="center" vertical="top" wrapText="1"/>
    </xf>
    <xf numFmtId="2" fontId="11" fillId="33" borderId="10" xfId="55" applyNumberFormat="1" applyFont="1" applyFill="1" applyBorder="1" applyAlignment="1">
      <alignment horizontal="center" vertical="center"/>
      <protection/>
    </xf>
    <xf numFmtId="2" fontId="11" fillId="33" borderId="21" xfId="55" applyNumberFormat="1" applyFont="1" applyFill="1" applyBorder="1" applyAlignment="1">
      <alignment horizontal="center" vertical="center"/>
      <protection/>
    </xf>
    <xf numFmtId="2" fontId="11" fillId="33" borderId="12" xfId="55" applyNumberFormat="1" applyFont="1" applyFill="1" applyBorder="1" applyAlignment="1">
      <alignment horizontal="center" vertical="center"/>
      <protection/>
    </xf>
    <xf numFmtId="2" fontId="11" fillId="0" borderId="10" xfId="55" applyNumberFormat="1" applyFont="1" applyBorder="1" applyAlignment="1">
      <alignment horizontal="center" vertical="center"/>
      <protection/>
    </xf>
    <xf numFmtId="2" fontId="11" fillId="0" borderId="21" xfId="55" applyNumberFormat="1" applyFont="1" applyBorder="1" applyAlignment="1">
      <alignment horizontal="center" vertical="center"/>
      <protection/>
    </xf>
    <xf numFmtId="2" fontId="11" fillId="0" borderId="12" xfId="55" applyNumberFormat="1" applyFont="1" applyBorder="1" applyAlignment="1">
      <alignment horizontal="center" vertical="center"/>
      <protection/>
    </xf>
    <xf numFmtId="0" fontId="5" fillId="0" borderId="0" xfId="55" applyFont="1" applyAlignment="1">
      <alignment horizontal="center"/>
      <protection/>
    </xf>
    <xf numFmtId="0" fontId="6" fillId="0" borderId="0" xfId="55" applyFont="1" applyAlignment="1">
      <alignment horizontal="center"/>
      <protection/>
    </xf>
    <xf numFmtId="0" fontId="10" fillId="0" borderId="0" xfId="55" applyFont="1" applyAlignment="1">
      <alignment horizontal="center"/>
      <protection/>
    </xf>
    <xf numFmtId="0" fontId="7" fillId="0" borderId="0" xfId="55" applyFont="1" applyBorder="1" applyAlignment="1">
      <alignment horizontal="left"/>
      <protection/>
    </xf>
    <xf numFmtId="0" fontId="2" fillId="33" borderId="10" xfId="55" applyFont="1" applyFill="1" applyBorder="1" applyAlignment="1">
      <alignment horizontal="center" vertical="center" wrapText="1"/>
      <protection/>
    </xf>
    <xf numFmtId="0" fontId="2" fillId="33" borderId="21" xfId="55" applyFont="1" applyFill="1" applyBorder="1" applyAlignment="1">
      <alignment horizontal="center" vertical="center" wrapText="1"/>
      <protection/>
    </xf>
    <xf numFmtId="0" fontId="2" fillId="33" borderId="12" xfId="55" applyFont="1" applyFill="1" applyBorder="1" applyAlignment="1">
      <alignment horizontal="center" vertical="center" wrapText="1"/>
      <protection/>
    </xf>
    <xf numFmtId="0" fontId="41" fillId="0" borderId="0" xfId="0" applyFont="1" applyAlignment="1">
      <alignment horizontal="left"/>
    </xf>
    <xf numFmtId="2" fontId="6" fillId="0" borderId="29" xfId="0" applyNumberFormat="1" applyFont="1" applyBorder="1" applyAlignment="1">
      <alignment horizontal="center" vertical="top"/>
    </xf>
    <xf numFmtId="2" fontId="6" fillId="0" borderId="25" xfId="0" applyNumberFormat="1" applyFont="1" applyBorder="1" applyAlignment="1">
      <alignment horizontal="center" vertical="top"/>
    </xf>
    <xf numFmtId="2" fontId="6" fillId="0" borderId="26" xfId="0" applyNumberFormat="1" applyFont="1" applyBorder="1" applyAlignment="1">
      <alignment horizontal="center" vertical="top"/>
    </xf>
    <xf numFmtId="2" fontId="6" fillId="0" borderId="20" xfId="0" applyNumberFormat="1" applyFont="1" applyBorder="1" applyAlignment="1">
      <alignment horizontal="center" vertical="top"/>
    </xf>
    <xf numFmtId="2" fontId="6" fillId="0" borderId="19" xfId="0" applyNumberFormat="1" applyFont="1" applyBorder="1" applyAlignment="1">
      <alignment horizontal="center" vertical="top"/>
    </xf>
    <xf numFmtId="2" fontId="6" fillId="0" borderId="28" xfId="0" applyNumberFormat="1" applyFont="1" applyBorder="1" applyAlignment="1">
      <alignment horizontal="center" vertical="top"/>
    </xf>
    <xf numFmtId="0" fontId="2" fillId="0" borderId="26" xfId="0" applyFont="1" applyBorder="1" applyAlignment="1">
      <alignment horizontal="center" vertical="center" wrapText="1"/>
    </xf>
    <xf numFmtId="0" fontId="3" fillId="0" borderId="0" xfId="0" applyFont="1" applyAlignment="1">
      <alignment horizontal="center"/>
    </xf>
    <xf numFmtId="0" fontId="2" fillId="0" borderId="27" xfId="0" applyFont="1" applyBorder="1" applyAlignment="1">
      <alignment horizontal="center"/>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0" fillId="0" borderId="10" xfId="0" applyFont="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6" fillId="0" borderId="0" xfId="0" applyFont="1" applyAlignment="1">
      <alignment horizontal="left"/>
    </xf>
    <xf numFmtId="0" fontId="0" fillId="0" borderId="10" xfId="0" applyFont="1" applyBorder="1" applyAlignment="1">
      <alignment horizontal="center" vertical="center"/>
    </xf>
    <xf numFmtId="0" fontId="16" fillId="0" borderId="19" xfId="0" applyFont="1" applyBorder="1" applyAlignment="1">
      <alignment horizontal="left"/>
    </xf>
    <xf numFmtId="0" fontId="7" fillId="0" borderId="0" xfId="0" applyFont="1" applyAlignment="1">
      <alignment horizontal="center" wrapText="1"/>
    </xf>
    <xf numFmtId="2" fontId="0" fillId="0" borderId="10" xfId="0" applyNumberFormat="1" applyFont="1" applyBorder="1" applyAlignment="1">
      <alignment horizontal="center" vertical="center" wrapText="1"/>
    </xf>
    <xf numFmtId="2" fontId="0" fillId="0" borderId="21" xfId="0" applyNumberFormat="1" applyFont="1" applyBorder="1" applyAlignment="1">
      <alignment horizontal="center" vertical="center" wrapText="1"/>
    </xf>
    <xf numFmtId="2" fontId="0" fillId="0" borderId="12" xfId="0" applyNumberFormat="1" applyFont="1" applyBorder="1" applyAlignment="1">
      <alignment horizontal="center" vertical="center" wrapText="1"/>
    </xf>
    <xf numFmtId="2" fontId="0" fillId="0" borderId="10" xfId="0" applyNumberFormat="1" applyFont="1" applyBorder="1" applyAlignment="1">
      <alignment horizontal="center" vertical="center"/>
    </xf>
    <xf numFmtId="2" fontId="0" fillId="0" borderId="21" xfId="0" applyNumberFormat="1" applyFont="1" applyBorder="1" applyAlignment="1">
      <alignment horizontal="center" vertical="center"/>
    </xf>
    <xf numFmtId="2" fontId="0" fillId="0" borderId="12"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12" xfId="0" applyFont="1" applyBorder="1" applyAlignment="1">
      <alignment horizontal="center" vertical="center"/>
    </xf>
    <xf numFmtId="0" fontId="16" fillId="0" borderId="0" xfId="0" applyFont="1" applyBorder="1" applyAlignment="1">
      <alignment horizontal="right"/>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115" fillId="0" borderId="0" xfId="0" applyFont="1" applyBorder="1" applyAlignment="1">
      <alignment horizontal="center" vertical="top"/>
    </xf>
    <xf numFmtId="0" fontId="39" fillId="0" borderId="0" xfId="0" applyFont="1" applyAlignment="1">
      <alignment horizontal="center"/>
    </xf>
    <xf numFmtId="0" fontId="117" fillId="0" borderId="10" xfId="0" applyFont="1" applyBorder="1" applyAlignment="1">
      <alignment horizontal="center" vertical="center" wrapText="1"/>
    </xf>
    <xf numFmtId="0" fontId="117" fillId="0" borderId="21" xfId="0" applyFont="1" applyBorder="1" applyAlignment="1">
      <alignment horizontal="center" vertical="center" wrapText="1"/>
    </xf>
    <xf numFmtId="0" fontId="117" fillId="0" borderId="12" xfId="0" applyFont="1" applyBorder="1" applyAlignment="1">
      <alignment horizontal="center" vertical="center" wrapText="1"/>
    </xf>
    <xf numFmtId="0" fontId="110" fillId="0" borderId="10" xfId="0" applyFont="1" applyBorder="1" applyAlignment="1">
      <alignment horizontal="center" vertical="center" wrapText="1"/>
    </xf>
    <xf numFmtId="0" fontId="110" fillId="0" borderId="21" xfId="0" applyFont="1" applyBorder="1" applyAlignment="1">
      <alignment horizontal="center" vertical="center" wrapText="1"/>
    </xf>
    <xf numFmtId="0" fontId="110" fillId="0" borderId="12" xfId="0" applyFont="1" applyBorder="1" applyAlignment="1">
      <alignment horizontal="center" vertical="center" wrapText="1"/>
    </xf>
    <xf numFmtId="0" fontId="0" fillId="0" borderId="21" xfId="0" applyBorder="1" applyAlignment="1">
      <alignment vertical="center"/>
    </xf>
    <xf numFmtId="0" fontId="0" fillId="0" borderId="12" xfId="0" applyBorder="1" applyAlignment="1">
      <alignment vertical="center"/>
    </xf>
    <xf numFmtId="0" fontId="117" fillId="0" borderId="14" xfId="0" applyFont="1" applyBorder="1" applyAlignment="1">
      <alignment horizontal="center" vertical="center" wrapText="1"/>
    </xf>
    <xf numFmtId="0" fontId="117" fillId="0" borderId="22" xfId="0" applyFont="1" applyBorder="1" applyAlignment="1">
      <alignment horizontal="center" vertical="center" wrapText="1"/>
    </xf>
    <xf numFmtId="0" fontId="117" fillId="0" borderId="15" xfId="0" applyFont="1" applyBorder="1" applyAlignment="1">
      <alignment horizontal="center" vertical="center" wrapText="1"/>
    </xf>
    <xf numFmtId="0" fontId="42" fillId="0" borderId="0" xfId="55" applyFont="1" applyAlignment="1">
      <alignment horizontal="center" vertical="top" wrapText="1"/>
      <protection/>
    </xf>
    <xf numFmtId="0" fontId="34" fillId="0" borderId="10"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5" xfId="0" applyFont="1" applyBorder="1" applyAlignment="1">
      <alignment horizontal="center" vertical="center" wrapText="1"/>
    </xf>
    <xf numFmtId="0" fontId="5" fillId="0" borderId="0" xfId="55" applyFont="1" applyAlignment="1">
      <alignment/>
      <protection/>
    </xf>
    <xf numFmtId="0" fontId="2" fillId="33" borderId="10" xfId="55" applyFont="1" applyFill="1" applyBorder="1" applyAlignment="1" quotePrefix="1">
      <alignment horizontal="center" vertical="center" wrapText="1"/>
      <protection/>
    </xf>
    <xf numFmtId="0" fontId="2" fillId="33" borderId="12" xfId="55" applyFont="1" applyFill="1" applyBorder="1" applyAlignment="1" quotePrefix="1">
      <alignment horizontal="center" vertical="center" wrapText="1"/>
      <protection/>
    </xf>
    <xf numFmtId="0" fontId="2" fillId="33" borderId="11" xfId="55" applyFont="1" applyFill="1" applyBorder="1" applyAlignment="1" quotePrefix="1">
      <alignment horizontal="center" vertical="center" wrapText="1"/>
      <protection/>
    </xf>
    <xf numFmtId="0" fontId="2" fillId="0" borderId="11" xfId="55" applyFont="1" applyBorder="1" applyAlignment="1">
      <alignment horizontal="left" vertical="center"/>
      <protection/>
    </xf>
    <xf numFmtId="0" fontId="0" fillId="0" borderId="21" xfId="0" applyBorder="1" applyAlignment="1">
      <alignment horizontal="left" vertical="top"/>
    </xf>
    <xf numFmtId="0" fontId="0" fillId="0" borderId="12" xfId="0" applyBorder="1" applyAlignment="1">
      <alignment horizontal="left" vertical="top"/>
    </xf>
    <xf numFmtId="0" fontId="2" fillId="0" borderId="0" xfId="56" applyFont="1" applyAlignment="1">
      <alignment horizontal="center" vertical="top" wrapText="1"/>
      <protection/>
    </xf>
    <xf numFmtId="0" fontId="15" fillId="0" borderId="0" xfId="0" applyFont="1" applyAlignment="1">
      <alignment horizontal="center" wrapText="1"/>
    </xf>
    <xf numFmtId="0" fontId="2" fillId="0" borderId="0" xfId="0" applyFont="1" applyAlignment="1">
      <alignment horizontal="right"/>
    </xf>
    <xf numFmtId="0" fontId="0" fillId="0" borderId="0" xfId="0" applyFont="1" applyFill="1" applyBorder="1" applyAlignment="1">
      <alignment horizontal="left"/>
    </xf>
    <xf numFmtId="0" fontId="2" fillId="0" borderId="0" xfId="0" applyFont="1" applyFill="1" applyBorder="1" applyAlignment="1">
      <alignment horizontal="left"/>
    </xf>
    <xf numFmtId="0" fontId="1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horizontal="right" vertical="top" wrapText="1"/>
    </xf>
    <xf numFmtId="0" fontId="16" fillId="33" borderId="19" xfId="0" applyFont="1" applyFill="1" applyBorder="1" applyAlignment="1">
      <alignment horizontal="right"/>
    </xf>
    <xf numFmtId="0" fontId="35" fillId="0" borderId="0" xfId="0" applyFont="1" applyBorder="1" applyAlignment="1">
      <alignment horizontal="center"/>
    </xf>
    <xf numFmtId="0" fontId="104" fillId="0" borderId="11" xfId="0" applyFont="1" applyBorder="1" applyAlignment="1">
      <alignment horizontal="center" vertical="center" wrapText="1"/>
    </xf>
    <xf numFmtId="0" fontId="104" fillId="33" borderId="14" xfId="0" applyFont="1" applyFill="1" applyBorder="1" applyAlignment="1">
      <alignment horizontal="center" vertical="center" wrapText="1"/>
    </xf>
    <xf numFmtId="0" fontId="104" fillId="33" borderId="22" xfId="0" applyFont="1" applyFill="1" applyBorder="1" applyAlignment="1">
      <alignment horizontal="center" vertical="center" wrapText="1"/>
    </xf>
    <xf numFmtId="0" fontId="104" fillId="33" borderId="15" xfId="0" applyFont="1" applyFill="1" applyBorder="1" applyAlignment="1">
      <alignment horizontal="center" vertical="center" wrapText="1"/>
    </xf>
    <xf numFmtId="0" fontId="2" fillId="0" borderId="19" xfId="0" applyFont="1" applyBorder="1" applyAlignment="1">
      <alignment horizontal="right"/>
    </xf>
    <xf numFmtId="0" fontId="35" fillId="0" borderId="10" xfId="0" applyFont="1" applyBorder="1" applyAlignment="1" quotePrefix="1">
      <alignment horizontal="center" vertical="center" wrapText="1"/>
    </xf>
    <xf numFmtId="0" fontId="35" fillId="0" borderId="21" xfId="0" applyFont="1" applyBorder="1" applyAlignment="1" quotePrefix="1">
      <alignment horizontal="center" vertical="center" wrapText="1"/>
    </xf>
    <xf numFmtId="0" fontId="35" fillId="0" borderId="12" xfId="0" applyFont="1" applyBorder="1" applyAlignment="1" quotePrefix="1">
      <alignment horizontal="center" vertical="center" wrapText="1"/>
    </xf>
    <xf numFmtId="0" fontId="43" fillId="0" borderId="29"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4" xfId="0" applyFont="1" applyBorder="1" applyAlignment="1">
      <alignment horizontal="center" vertical="center"/>
    </xf>
    <xf numFmtId="0" fontId="43" fillId="0" borderId="0" xfId="0" applyFont="1" applyBorder="1" applyAlignment="1">
      <alignment horizontal="center" vertical="center"/>
    </xf>
    <xf numFmtId="0" fontId="43" fillId="0" borderId="27" xfId="0" applyFont="1" applyBorder="1" applyAlignment="1">
      <alignment horizontal="center" vertical="center"/>
    </xf>
    <xf numFmtId="0" fontId="43" fillId="0" borderId="20" xfId="0" applyFont="1" applyBorder="1" applyAlignment="1">
      <alignment horizontal="center" vertical="center"/>
    </xf>
    <xf numFmtId="0" fontId="43" fillId="0" borderId="19" xfId="0" applyFont="1" applyBorder="1" applyAlignment="1">
      <alignment horizontal="center" vertical="center"/>
    </xf>
    <xf numFmtId="0" fontId="43" fillId="0" borderId="28" xfId="0" applyFont="1" applyBorder="1" applyAlignment="1">
      <alignment horizontal="center" vertical="center"/>
    </xf>
    <xf numFmtId="0" fontId="2" fillId="0" borderId="0" xfId="0" applyFont="1" applyBorder="1" applyAlignment="1">
      <alignment horizontal="center" vertical="center" wrapText="1"/>
    </xf>
    <xf numFmtId="0" fontId="2" fillId="0" borderId="0" xfId="58" applyFont="1" applyAlignment="1">
      <alignment horizontal="center" vertical="top" wrapText="1"/>
      <protection/>
    </xf>
    <xf numFmtId="0" fontId="2" fillId="0" borderId="14" xfId="58" applyFont="1" applyBorder="1" applyAlignment="1">
      <alignment horizontal="center" vertical="center" wrapText="1"/>
      <protection/>
    </xf>
    <xf numFmtId="0" fontId="2" fillId="0" borderId="15" xfId="58" applyFont="1" applyBorder="1" applyAlignment="1">
      <alignment horizontal="center" vertical="center" wrapText="1"/>
      <protection/>
    </xf>
    <xf numFmtId="0" fontId="2" fillId="0" borderId="11" xfId="58" applyFont="1" applyBorder="1" applyAlignment="1">
      <alignment horizontal="center" vertical="center" wrapText="1"/>
      <protection/>
    </xf>
    <xf numFmtId="0" fontId="0" fillId="0" borderId="11" xfId="0" applyBorder="1" applyAlignment="1">
      <alignment horizontal="center" vertical="center" wrapText="1"/>
    </xf>
    <xf numFmtId="0" fontId="0" fillId="0" borderId="0" xfId="0" applyAlignment="1">
      <alignment horizontal="left"/>
    </xf>
    <xf numFmtId="0" fontId="14" fillId="0" borderId="0" xfId="0" applyFont="1" applyAlignment="1">
      <alignment horizontal="center" vertical="top" wrapText="1"/>
    </xf>
    <xf numFmtId="0" fontId="7" fillId="0" borderId="0" xfId="58" applyFont="1" applyAlignment="1">
      <alignment horizontal="center"/>
      <protection/>
    </xf>
    <xf numFmtId="0" fontId="2" fillId="0" borderId="11" xfId="58" applyFont="1" applyBorder="1" applyAlignment="1">
      <alignment horizontal="center" vertical="center"/>
      <protection/>
    </xf>
    <xf numFmtId="0" fontId="2" fillId="0" borderId="10" xfId="58" applyFont="1" applyBorder="1" applyAlignment="1">
      <alignment horizontal="center" vertical="center" wrapText="1"/>
      <protection/>
    </xf>
    <xf numFmtId="0" fontId="2" fillId="0" borderId="12" xfId="58" applyFont="1" applyBorder="1" applyAlignment="1">
      <alignment horizontal="center" vertical="center" wrapText="1"/>
      <protection/>
    </xf>
    <xf numFmtId="0" fontId="6" fillId="0" borderId="14" xfId="58" applyFont="1" applyBorder="1" applyAlignment="1">
      <alignment horizontal="center" vertical="center"/>
      <protection/>
    </xf>
    <xf numFmtId="0" fontId="6" fillId="0" borderId="22" xfId="58" applyFont="1" applyBorder="1" applyAlignment="1">
      <alignment horizontal="center" vertical="center"/>
      <protection/>
    </xf>
    <xf numFmtId="0" fontId="6" fillId="0" borderId="30" xfId="58" applyFont="1" applyBorder="1" applyAlignment="1">
      <alignment horizontal="center" vertical="center"/>
      <protection/>
    </xf>
    <xf numFmtId="0" fontId="4" fillId="0" borderId="0" xfId="58" applyFont="1" applyAlignment="1">
      <alignment horizontal="center"/>
      <protection/>
    </xf>
    <xf numFmtId="0" fontId="0" fillId="0" borderId="0" xfId="58" applyFont="1" applyAlignment="1">
      <alignment horizontal="center"/>
      <protection/>
    </xf>
    <xf numFmtId="0" fontId="0" fillId="0" borderId="0" xfId="58" applyAlignment="1">
      <alignment horizontal="left"/>
      <protection/>
    </xf>
    <xf numFmtId="0" fontId="41" fillId="0" borderId="0" xfId="58" applyFont="1" applyAlignment="1">
      <alignment horizontal="center" vertical="top" wrapText="1"/>
      <protection/>
    </xf>
    <xf numFmtId="0" fontId="2" fillId="0" borderId="22" xfId="58" applyFont="1" applyBorder="1" applyAlignment="1">
      <alignment horizontal="center" vertical="center" wrapText="1"/>
      <protection/>
    </xf>
    <xf numFmtId="0" fontId="43" fillId="0" borderId="29" xfId="58" applyFont="1" applyBorder="1" applyAlignment="1">
      <alignment horizontal="center" vertical="center"/>
      <protection/>
    </xf>
    <xf numFmtId="0" fontId="43" fillId="0" borderId="25" xfId="58" applyFont="1" applyBorder="1" applyAlignment="1">
      <alignment horizontal="center" vertical="center"/>
      <protection/>
    </xf>
    <xf numFmtId="0" fontId="43" fillId="0" borderId="26" xfId="58" applyFont="1" applyBorder="1" applyAlignment="1">
      <alignment horizontal="center" vertical="center"/>
      <protection/>
    </xf>
    <xf numFmtId="0" fontId="43" fillId="0" borderId="24" xfId="58" applyFont="1" applyBorder="1" applyAlignment="1">
      <alignment horizontal="center" vertical="center"/>
      <protection/>
    </xf>
    <xf numFmtId="0" fontId="43" fillId="0" borderId="0" xfId="58" applyFont="1" applyBorder="1" applyAlignment="1">
      <alignment horizontal="center" vertical="center"/>
      <protection/>
    </xf>
    <xf numFmtId="0" fontId="43" fillId="0" borderId="27" xfId="58" applyFont="1" applyBorder="1" applyAlignment="1">
      <alignment horizontal="center" vertical="center"/>
      <protection/>
    </xf>
    <xf numFmtId="0" fontId="43" fillId="0" borderId="20" xfId="58" applyFont="1" applyBorder="1" applyAlignment="1">
      <alignment horizontal="center" vertical="center"/>
      <protection/>
    </xf>
    <xf numFmtId="0" fontId="43" fillId="0" borderId="19" xfId="58" applyFont="1" applyBorder="1" applyAlignment="1">
      <alignment horizontal="center" vertical="center"/>
      <protection/>
    </xf>
    <xf numFmtId="0" fontId="43" fillId="0" borderId="28" xfId="58" applyFont="1" applyBorder="1" applyAlignment="1">
      <alignment horizontal="center" vertical="center"/>
      <protection/>
    </xf>
    <xf numFmtId="0" fontId="126" fillId="33" borderId="22" xfId="58" applyFont="1" applyFill="1" applyBorder="1" applyAlignment="1">
      <alignment horizontal="center" vertical="center" wrapText="1"/>
      <protection/>
    </xf>
    <xf numFmtId="0" fontId="126" fillId="33" borderId="15" xfId="58" applyFont="1" applyFill="1" applyBorder="1" applyAlignment="1">
      <alignment horizontal="center" vertical="center" wrapText="1"/>
      <protection/>
    </xf>
    <xf numFmtId="0" fontId="10" fillId="0" borderId="29"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8" xfId="0" applyFont="1" applyBorder="1" applyAlignment="1">
      <alignment horizontal="center" vertical="center"/>
    </xf>
    <xf numFmtId="0" fontId="34" fillId="0" borderId="0" xfId="0" applyFont="1" applyAlignment="1">
      <alignment horizontal="center"/>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2" fillId="33" borderId="14" xfId="55" applyFont="1" applyFill="1" applyBorder="1" applyAlignment="1" quotePrefix="1">
      <alignment horizontal="center" vertical="center" wrapText="1"/>
      <protection/>
    </xf>
    <xf numFmtId="0" fontId="2" fillId="33" borderId="22" xfId="55" applyFont="1" applyFill="1" applyBorder="1" applyAlignment="1" quotePrefix="1">
      <alignment horizontal="center" vertical="center" wrapText="1"/>
      <protection/>
    </xf>
    <xf numFmtId="0" fontId="2" fillId="33" borderId="15" xfId="55" applyFont="1" applyFill="1" applyBorder="1" applyAlignment="1" quotePrefix="1">
      <alignment horizontal="center" vertical="center" wrapText="1"/>
      <protection/>
    </xf>
    <xf numFmtId="0" fontId="2" fillId="0" borderId="0" xfId="55" applyFont="1" applyAlignment="1">
      <alignment horizontal="center"/>
      <protection/>
    </xf>
    <xf numFmtId="0" fontId="16" fillId="0" borderId="0" xfId="55" applyFont="1" applyAlignment="1">
      <alignment horizontal="right"/>
      <protection/>
    </xf>
    <xf numFmtId="0" fontId="14" fillId="0" borderId="0" xfId="55" applyFont="1" applyAlignment="1">
      <alignment horizontal="center"/>
      <protection/>
    </xf>
    <xf numFmtId="0" fontId="2" fillId="0" borderId="11" xfId="55" applyFont="1" applyBorder="1" applyAlignment="1">
      <alignment horizontal="left"/>
      <protection/>
    </xf>
    <xf numFmtId="0" fontId="2" fillId="33" borderId="29"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6" xfId="55" applyFont="1" applyFill="1" applyBorder="1" applyAlignment="1">
      <alignment horizontal="center" vertical="center" wrapText="1"/>
      <protection/>
    </xf>
    <xf numFmtId="0" fontId="31" fillId="0" borderId="0" xfId="0" applyFont="1" applyAlignment="1">
      <alignment horizontal="right"/>
    </xf>
    <xf numFmtId="0" fontId="127" fillId="0" borderId="29" xfId="0" applyFont="1" applyBorder="1" applyAlignment="1">
      <alignment horizontal="center" vertical="center" wrapText="1"/>
    </xf>
    <xf numFmtId="0" fontId="127" fillId="0" borderId="25" xfId="0" applyFont="1" applyBorder="1" applyAlignment="1">
      <alignment horizontal="center" vertical="center" wrapText="1"/>
    </xf>
    <xf numFmtId="0" fontId="127" fillId="0" borderId="26" xfId="0" applyFont="1" applyBorder="1" applyAlignment="1">
      <alignment horizontal="center" vertical="center" wrapText="1"/>
    </xf>
    <xf numFmtId="0" fontId="127" fillId="0" borderId="24" xfId="0" applyFont="1" applyBorder="1" applyAlignment="1">
      <alignment horizontal="center" vertical="center" wrapText="1"/>
    </xf>
    <xf numFmtId="0" fontId="127" fillId="0" borderId="0" xfId="0" applyFont="1" applyBorder="1" applyAlignment="1">
      <alignment horizontal="center" vertical="center" wrapText="1"/>
    </xf>
    <xf numFmtId="0" fontId="127" fillId="0" borderId="27" xfId="0" applyFont="1" applyBorder="1" applyAlignment="1">
      <alignment horizontal="center" vertical="center" wrapText="1"/>
    </xf>
    <xf numFmtId="0" fontId="127" fillId="0" borderId="20" xfId="0" applyFont="1" applyBorder="1" applyAlignment="1">
      <alignment horizontal="center" vertical="center" wrapText="1"/>
    </xf>
    <xf numFmtId="0" fontId="127" fillId="0" borderId="19" xfId="0" applyFont="1" applyBorder="1" applyAlignment="1">
      <alignment horizontal="center" vertical="center" wrapText="1"/>
    </xf>
    <xf numFmtId="0" fontId="127" fillId="0" borderId="28" xfId="0" applyFont="1" applyBorder="1" applyAlignment="1">
      <alignment horizontal="center" vertical="center" wrapText="1"/>
    </xf>
    <xf numFmtId="0" fontId="117" fillId="0" borderId="11" xfId="0" applyFont="1" applyBorder="1" applyAlignment="1">
      <alignment horizontal="center" vertical="center" wrapText="1"/>
    </xf>
    <xf numFmtId="0" fontId="108" fillId="0" borderId="0" xfId="0" applyFont="1" applyBorder="1" applyAlignment="1">
      <alignment horizontal="center" vertical="top"/>
    </xf>
    <xf numFmtId="0" fontId="117" fillId="0" borderId="29" xfId="0" applyFont="1" applyBorder="1" applyAlignment="1">
      <alignment horizontal="center" vertical="center" wrapText="1"/>
    </xf>
    <xf numFmtId="0" fontId="117" fillId="0" borderId="25" xfId="0" applyFont="1" applyBorder="1" applyAlignment="1">
      <alignment horizontal="center" vertical="center" wrapText="1"/>
    </xf>
    <xf numFmtId="0" fontId="117" fillId="0" borderId="26" xfId="0" applyFont="1" applyBorder="1" applyAlignment="1">
      <alignment horizontal="center" vertical="center" wrapText="1"/>
    </xf>
    <xf numFmtId="0" fontId="117" fillId="0" borderId="24" xfId="0" applyFont="1" applyBorder="1" applyAlignment="1">
      <alignment horizontal="center" vertical="center" wrapText="1"/>
    </xf>
    <xf numFmtId="0" fontId="117" fillId="0" borderId="0" xfId="0" applyFont="1" applyBorder="1" applyAlignment="1">
      <alignment horizontal="center" vertical="center" wrapText="1"/>
    </xf>
    <xf numFmtId="0" fontId="117" fillId="0" borderId="27" xfId="0" applyFont="1" applyBorder="1" applyAlignment="1">
      <alignment horizontal="center" vertical="center" wrapText="1"/>
    </xf>
    <xf numFmtId="0" fontId="128" fillId="0" borderId="0" xfId="0" applyFont="1" applyBorder="1" applyAlignment="1">
      <alignment horizontal="left" vertical="center" wrapText="1"/>
    </xf>
    <xf numFmtId="0" fontId="2" fillId="0" borderId="19" xfId="55" applyFont="1" applyBorder="1" applyAlignment="1">
      <alignment horizontal="center"/>
      <protection/>
    </xf>
    <xf numFmtId="0" fontId="120" fillId="0" borderId="0" xfId="0" applyFont="1" applyAlignment="1">
      <alignment horizontal="left"/>
    </xf>
    <xf numFmtId="0" fontId="115" fillId="0" borderId="0" xfId="0" applyFont="1" applyAlignment="1">
      <alignment horizontal="center" vertical="center"/>
    </xf>
    <xf numFmtId="0" fontId="115" fillId="0" borderId="0" xfId="0" applyFont="1" applyBorder="1" applyAlignment="1">
      <alignment horizontal="center" vertical="center"/>
    </xf>
    <xf numFmtId="0" fontId="112" fillId="0" borderId="10" xfId="0" applyFont="1" applyBorder="1" applyAlignment="1">
      <alignment horizontal="left" vertical="center" wrapText="1"/>
    </xf>
    <xf numFmtId="0" fontId="112" fillId="0" borderId="21" xfId="0" applyFont="1" applyBorder="1" applyAlignment="1">
      <alignment horizontal="left" vertical="center" wrapText="1"/>
    </xf>
    <xf numFmtId="0" fontId="112" fillId="0" borderId="11" xfId="0" applyFont="1" applyBorder="1" applyAlignment="1">
      <alignment horizontal="left" vertical="center" wrapText="1"/>
    </xf>
    <xf numFmtId="0" fontId="112" fillId="0" borderId="12"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xf>
    <xf numFmtId="0" fontId="10" fillId="0" borderId="0" xfId="0" applyFont="1" applyAlignment="1">
      <alignment horizontal="center" vertical="top" wrapText="1"/>
    </xf>
    <xf numFmtId="0" fontId="11" fillId="0" borderId="0" xfId="0" applyFont="1" applyAlignment="1">
      <alignment horizontal="center" vertical="top" wrapText="1"/>
    </xf>
    <xf numFmtId="0" fontId="3" fillId="33" borderId="0" xfId="0" applyFont="1" applyFill="1" applyAlignment="1">
      <alignment horizontal="right"/>
    </xf>
    <xf numFmtId="0" fontId="15" fillId="33" borderId="0" xfId="0" applyFont="1" applyFill="1" applyAlignment="1">
      <alignment horizontal="center" wrapText="1"/>
    </xf>
    <xf numFmtId="0" fontId="6" fillId="33" borderId="0" xfId="0" applyFont="1" applyFill="1" applyAlignment="1">
      <alignment horizontal="center"/>
    </xf>
    <xf numFmtId="0" fontId="2" fillId="33" borderId="0" xfId="0" applyFont="1" applyFill="1" applyAlignment="1">
      <alignment horizontal="center"/>
    </xf>
    <xf numFmtId="0" fontId="2" fillId="33" borderId="14"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right"/>
    </xf>
    <xf numFmtId="0" fontId="4" fillId="33" borderId="0" xfId="0" applyFont="1" applyFill="1" applyAlignment="1">
      <alignment horizontal="center"/>
    </xf>
    <xf numFmtId="0" fontId="0" fillId="33" borderId="0" xfId="0" applyFont="1" applyFill="1" applyAlignment="1">
      <alignment horizontal="center"/>
    </xf>
    <xf numFmtId="0" fontId="41" fillId="33" borderId="0" xfId="0" applyFont="1" applyFill="1" applyAlignment="1">
      <alignment horizontal="center" vertical="top" wrapText="1"/>
    </xf>
    <xf numFmtId="0" fontId="41" fillId="33" borderId="0" xfId="0" applyFont="1" applyFill="1" applyAlignment="1">
      <alignment horizontal="center"/>
    </xf>
    <xf numFmtId="0" fontId="2" fillId="33" borderId="2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10" fillId="33" borderId="0" xfId="0" applyFont="1" applyFill="1" applyAlignment="1">
      <alignment horizont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22" xfId="0" applyFont="1" applyFill="1" applyBorder="1" applyAlignment="1">
      <alignment horizontal="center" vertical="top" wrapText="1"/>
    </xf>
    <xf numFmtId="0" fontId="2" fillId="33" borderId="15" xfId="0" applyFont="1" applyFill="1" applyBorder="1" applyAlignment="1">
      <alignment horizontal="center" vertical="top" wrapText="1"/>
    </xf>
    <xf numFmtId="0" fontId="0" fillId="33" borderId="14" xfId="0" applyFont="1" applyFill="1" applyBorder="1" applyAlignment="1">
      <alignment/>
    </xf>
    <xf numFmtId="0" fontId="0" fillId="33" borderId="22" xfId="0" applyFont="1" applyFill="1" applyBorder="1" applyAlignment="1">
      <alignment/>
    </xf>
    <xf numFmtId="0" fontId="0" fillId="33" borderId="15" xfId="0" applyFont="1" applyFill="1" applyBorder="1" applyAlignment="1">
      <alignment/>
    </xf>
    <xf numFmtId="0" fontId="6" fillId="33" borderId="29"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8" xfId="0" applyFont="1" applyFill="1" applyBorder="1" applyAlignment="1">
      <alignment horizontal="center" vertical="center"/>
    </xf>
    <xf numFmtId="0" fontId="7" fillId="33" borderId="0" xfId="0" applyFont="1" applyFill="1" applyAlignment="1">
      <alignment horizontal="center" wrapText="1"/>
    </xf>
    <xf numFmtId="0" fontId="21" fillId="0" borderId="10" xfId="55" applyFont="1" applyBorder="1" applyAlignment="1">
      <alignment horizontal="center" vertical="center" wrapText="1"/>
      <protection/>
    </xf>
    <xf numFmtId="0" fontId="21" fillId="0" borderId="12" xfId="55" applyFont="1" applyBorder="1" applyAlignment="1">
      <alignment horizontal="center" vertical="center" wrapText="1"/>
      <protection/>
    </xf>
    <xf numFmtId="0" fontId="21" fillId="0" borderId="14" xfId="55" applyFont="1" applyBorder="1" applyAlignment="1">
      <alignment horizontal="center" vertical="center" wrapText="1"/>
      <protection/>
    </xf>
    <xf numFmtId="0" fontId="21" fillId="0" borderId="22" xfId="55" applyFont="1" applyBorder="1" applyAlignment="1">
      <alignment horizontal="center" vertical="center" wrapText="1"/>
      <protection/>
    </xf>
    <xf numFmtId="0" fontId="21" fillId="0" borderId="26" xfId="55" applyFont="1" applyBorder="1" applyAlignment="1">
      <alignment horizontal="center" vertical="center" wrapText="1"/>
      <protection/>
    </xf>
    <xf numFmtId="0" fontId="21" fillId="0" borderId="11" xfId="55" applyFont="1" applyBorder="1" applyAlignment="1">
      <alignment horizontal="center" vertical="center" wrapText="1"/>
      <protection/>
    </xf>
    <xf numFmtId="0" fontId="21" fillId="0" borderId="15" xfId="55" applyFont="1" applyBorder="1" applyAlignment="1">
      <alignment horizontal="center" vertical="center" wrapText="1"/>
      <protection/>
    </xf>
    <xf numFmtId="0" fontId="28" fillId="0" borderId="0" xfId="55" applyFont="1" applyAlignment="1">
      <alignment horizontal="center"/>
      <protection/>
    </xf>
    <xf numFmtId="0" fontId="17" fillId="0" borderId="11" xfId="55" applyFont="1" applyBorder="1" applyAlignment="1">
      <alignment horizontal="center" vertical="center" wrapText="1"/>
      <protection/>
    </xf>
    <xf numFmtId="164" fontId="129" fillId="33" borderId="29" xfId="55" applyNumberFormat="1" applyFont="1" applyFill="1" applyBorder="1" applyAlignment="1">
      <alignment horizontal="center"/>
      <protection/>
    </xf>
    <xf numFmtId="164" fontId="129" fillId="33" borderId="25" xfId="55" applyNumberFormat="1" applyFont="1" applyFill="1" applyBorder="1" applyAlignment="1">
      <alignment horizontal="center"/>
      <protection/>
    </xf>
    <xf numFmtId="164" fontId="129" fillId="33" borderId="26" xfId="55" applyNumberFormat="1" applyFont="1" applyFill="1" applyBorder="1" applyAlignment="1">
      <alignment horizontal="center"/>
      <protection/>
    </xf>
    <xf numFmtId="164" fontId="129" fillId="33" borderId="20" xfId="55" applyNumberFormat="1" applyFont="1" applyFill="1" applyBorder="1" applyAlignment="1">
      <alignment horizontal="center"/>
      <protection/>
    </xf>
    <xf numFmtId="164" fontId="129" fillId="33" borderId="19" xfId="55" applyNumberFormat="1" applyFont="1" applyFill="1" applyBorder="1" applyAlignment="1">
      <alignment horizontal="center"/>
      <protection/>
    </xf>
    <xf numFmtId="164" fontId="129" fillId="33" borderId="28" xfId="55" applyNumberFormat="1" applyFont="1" applyFill="1" applyBorder="1" applyAlignment="1">
      <alignment horizontal="center"/>
      <protection/>
    </xf>
    <xf numFmtId="0" fontId="19" fillId="0" borderId="11" xfId="55" applyFont="1" applyBorder="1" applyAlignment="1">
      <alignment horizontal="center" vertical="center" wrapText="1"/>
      <protection/>
    </xf>
    <xf numFmtId="0" fontId="19" fillId="0" borderId="10" xfId="55" applyFont="1" applyBorder="1" applyAlignment="1">
      <alignment horizontal="center" vertical="center" wrapText="1"/>
      <protection/>
    </xf>
    <xf numFmtId="0" fontId="19" fillId="0" borderId="12" xfId="55" applyFont="1" applyBorder="1" applyAlignment="1">
      <alignment horizontal="center" vertical="center" wrapText="1"/>
      <protection/>
    </xf>
    <xf numFmtId="0" fontId="48" fillId="0" borderId="0" xfId="55" applyFont="1" applyAlignment="1">
      <alignment horizontal="center"/>
      <protection/>
    </xf>
    <xf numFmtId="0" fontId="2" fillId="33" borderId="0" xfId="0" applyFont="1" applyFill="1" applyAlignment="1">
      <alignment horizontal="center" vertical="top" wrapText="1"/>
    </xf>
    <xf numFmtId="0" fontId="19" fillId="0" borderId="14" xfId="55" applyFont="1" applyBorder="1" applyAlignment="1">
      <alignment horizontal="center" vertical="center" wrapText="1"/>
      <protection/>
    </xf>
    <xf numFmtId="0" fontId="19" fillId="0" borderId="22" xfId="55" applyFont="1" applyBorder="1" applyAlignment="1">
      <alignment horizontal="center" vertical="center" wrapText="1"/>
      <protection/>
    </xf>
    <xf numFmtId="0" fontId="19" fillId="0" borderId="15" xfId="55" applyFont="1" applyBorder="1" applyAlignment="1">
      <alignment horizontal="center" vertical="center" wrapText="1"/>
      <protection/>
    </xf>
    <xf numFmtId="0" fontId="51" fillId="0" borderId="29" xfId="0" applyFont="1" applyBorder="1" applyAlignment="1">
      <alignment horizontal="center"/>
    </xf>
    <xf numFmtId="0" fontId="51" fillId="0" borderId="25" xfId="0" applyFont="1" applyBorder="1" applyAlignment="1">
      <alignment horizontal="center"/>
    </xf>
    <xf numFmtId="0" fontId="51" fillId="0" borderId="26" xfId="0" applyFont="1" applyBorder="1" applyAlignment="1">
      <alignment horizontal="center"/>
    </xf>
    <xf numFmtId="0" fontId="51" fillId="0" borderId="20" xfId="0" applyFont="1" applyBorder="1" applyAlignment="1">
      <alignment horizontal="center"/>
    </xf>
    <xf numFmtId="0" fontId="51" fillId="0" borderId="19" xfId="0" applyFont="1" applyBorder="1" applyAlignment="1">
      <alignment horizontal="center"/>
    </xf>
    <xf numFmtId="0" fontId="51" fillId="0" borderId="28" xfId="0" applyFont="1" applyBorder="1" applyAlignment="1">
      <alignment horizontal="center"/>
    </xf>
    <xf numFmtId="0" fontId="3" fillId="0" borderId="0" xfId="0" applyFont="1" applyAlignment="1">
      <alignment horizontal="left"/>
    </xf>
    <xf numFmtId="0" fontId="17" fillId="0" borderId="14" xfId="55" applyFont="1" applyBorder="1" applyAlignment="1">
      <alignment horizontal="center" vertical="center" wrapText="1"/>
      <protection/>
    </xf>
    <xf numFmtId="0" fontId="17" fillId="0" borderId="22" xfId="55" applyFont="1" applyBorder="1" applyAlignment="1">
      <alignment horizontal="center" vertical="center" wrapText="1"/>
      <protection/>
    </xf>
    <xf numFmtId="0" fontId="89" fillId="0" borderId="25" xfId="55" applyBorder="1" applyAlignment="1">
      <alignment horizontal="left" wrapText="1"/>
      <protection/>
    </xf>
    <xf numFmtId="0" fontId="21" fillId="0" borderId="24" xfId="55" applyFont="1" applyBorder="1" applyAlignment="1">
      <alignment horizontal="center" vertical="center" wrapText="1"/>
      <protection/>
    </xf>
    <xf numFmtId="0" fontId="21" fillId="0" borderId="27" xfId="55" applyFont="1" applyBorder="1" applyAlignment="1">
      <alignment horizontal="center" vertical="center" wrapText="1"/>
      <protection/>
    </xf>
    <xf numFmtId="0" fontId="22" fillId="0" borderId="0" xfId="55" applyFont="1" applyAlignment="1">
      <alignment horizontal="center"/>
      <protection/>
    </xf>
    <xf numFmtId="0" fontId="21" fillId="0" borderId="21" xfId="55" applyFont="1" applyBorder="1" applyAlignment="1">
      <alignment horizontal="center" vertical="center" wrapText="1"/>
      <protection/>
    </xf>
    <xf numFmtId="0" fontId="12" fillId="0" borderId="25" xfId="0" applyFont="1" applyBorder="1" applyAlignment="1">
      <alignment horizontal="left" vertical="center" wrapText="1"/>
    </xf>
    <xf numFmtId="0" fontId="21" fillId="0" borderId="29" xfId="55" applyFont="1" applyBorder="1" applyAlignment="1">
      <alignment horizontal="center" vertical="center" wrapText="1"/>
      <protection/>
    </xf>
    <xf numFmtId="0" fontId="12" fillId="0" borderId="0" xfId="0" applyFont="1" applyBorder="1" applyAlignment="1">
      <alignment horizontal="left" vertical="center" wrapText="1"/>
    </xf>
    <xf numFmtId="0" fontId="2" fillId="0" borderId="0" xfId="59" applyFont="1" applyAlignment="1">
      <alignment horizontal="left"/>
      <protection/>
    </xf>
    <xf numFmtId="0" fontId="0" fillId="0" borderId="0" xfId="59" applyAlignment="1">
      <alignment horizontal="left"/>
      <protection/>
    </xf>
    <xf numFmtId="0" fontId="2" fillId="0" borderId="0" xfId="59" applyFont="1" applyAlignment="1">
      <alignment horizontal="center" vertical="top" wrapText="1"/>
      <protection/>
    </xf>
    <xf numFmtId="0" fontId="16" fillId="0" borderId="11" xfId="59" applyFont="1" applyBorder="1" applyAlignment="1">
      <alignment horizontal="center" vertical="center" wrapText="1"/>
      <protection/>
    </xf>
    <xf numFmtId="0" fontId="7" fillId="0" borderId="14" xfId="59" applyFont="1" applyBorder="1" applyAlignment="1">
      <alignment horizontal="center" vertical="top" wrapText="1"/>
      <protection/>
    </xf>
    <xf numFmtId="0" fontId="7" fillId="0" borderId="15" xfId="59" applyFont="1" applyBorder="1" applyAlignment="1">
      <alignment horizontal="center" vertical="top" wrapText="1"/>
      <protection/>
    </xf>
    <xf numFmtId="0" fontId="2" fillId="0" borderId="11" xfId="59" applyFont="1" applyBorder="1" applyAlignment="1">
      <alignment horizontal="center"/>
      <protection/>
    </xf>
    <xf numFmtId="0" fontId="16" fillId="0" borderId="14" xfId="59" applyFont="1" applyBorder="1" applyAlignment="1">
      <alignment horizontal="center" vertical="center"/>
      <protection/>
    </xf>
    <xf numFmtId="0" fontId="16" fillId="0" borderId="22" xfId="59" applyFont="1" applyBorder="1" applyAlignment="1">
      <alignment horizontal="center" vertical="center"/>
      <protection/>
    </xf>
    <xf numFmtId="0" fontId="16" fillId="0" borderId="15" xfId="59" applyFont="1" applyBorder="1" applyAlignment="1">
      <alignment horizontal="center" vertical="center"/>
      <protection/>
    </xf>
    <xf numFmtId="0" fontId="16" fillId="0" borderId="14" xfId="59" applyFont="1" applyBorder="1" applyAlignment="1">
      <alignment horizontal="center" vertical="center" wrapText="1"/>
      <protection/>
    </xf>
    <xf numFmtId="0" fontId="16" fillId="0" borderId="22" xfId="59" applyFont="1" applyBorder="1" applyAlignment="1">
      <alignment horizontal="center" vertical="center" wrapText="1"/>
      <protection/>
    </xf>
    <xf numFmtId="0" fontId="16" fillId="0" borderId="15" xfId="59" applyFont="1" applyBorder="1" applyAlignment="1">
      <alignment horizontal="center" vertical="center" wrapText="1"/>
      <protection/>
    </xf>
    <xf numFmtId="0" fontId="16" fillId="0" borderId="10" xfId="59" applyFont="1" applyBorder="1" applyAlignment="1">
      <alignment horizontal="center" vertical="center" wrapText="1"/>
      <protection/>
    </xf>
    <xf numFmtId="0" fontId="16" fillId="0" borderId="21" xfId="59" applyFont="1" applyBorder="1" applyAlignment="1">
      <alignment horizontal="center" vertical="center" wrapText="1"/>
      <protection/>
    </xf>
    <xf numFmtId="0" fontId="16" fillId="0" borderId="12" xfId="59" applyFont="1" applyBorder="1" applyAlignment="1">
      <alignment horizontal="center" vertical="center" wrapText="1"/>
      <protection/>
    </xf>
    <xf numFmtId="0" fontId="6" fillId="0" borderId="0" xfId="59" applyFont="1" applyAlignment="1">
      <alignment horizontal="center"/>
      <protection/>
    </xf>
    <xf numFmtId="0" fontId="2" fillId="0" borderId="14" xfId="59" applyFont="1" applyBorder="1" applyAlignment="1">
      <alignment horizontal="center"/>
      <protection/>
    </xf>
    <xf numFmtId="0" fontId="2" fillId="0" borderId="15" xfId="59" applyFont="1" applyBorder="1" applyAlignment="1">
      <alignment horizontal="center"/>
      <protection/>
    </xf>
    <xf numFmtId="0" fontId="4" fillId="0" borderId="0" xfId="59" applyFont="1" applyAlignment="1">
      <alignment horizontal="center"/>
      <protection/>
    </xf>
    <xf numFmtId="0" fontId="5" fillId="0" borderId="0" xfId="59" applyFont="1" applyAlignment="1">
      <alignment horizontal="center"/>
      <protection/>
    </xf>
    <xf numFmtId="0" fontId="16" fillId="0" borderId="0" xfId="59" applyFont="1" applyBorder="1" applyAlignment="1">
      <alignment horizontal="center"/>
      <protection/>
    </xf>
    <xf numFmtId="0" fontId="16" fillId="0" borderId="11" xfId="59" applyFont="1" applyBorder="1" applyAlignment="1">
      <alignment horizontal="center" vertical="center"/>
      <protection/>
    </xf>
    <xf numFmtId="0" fontId="2" fillId="33" borderId="0" xfId="0" applyFont="1" applyFill="1" applyAlignment="1">
      <alignment horizontal="left"/>
    </xf>
    <xf numFmtId="0" fontId="3" fillId="0" borderId="0" xfId="59" applyFont="1" applyAlignment="1">
      <alignment horizontal="right"/>
      <protection/>
    </xf>
    <xf numFmtId="0" fontId="19" fillId="0" borderId="14" xfId="57" applyFont="1" applyBorder="1" applyAlignment="1">
      <alignment horizontal="center" vertical="center"/>
      <protection/>
    </xf>
    <xf numFmtId="0" fontId="19" fillId="0" borderId="15" xfId="57" applyFont="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3" xfId="58"/>
    <cellStyle name="Normal 3 2"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152400</xdr:rowOff>
    </xdr:from>
    <xdr:ext cx="9258300" cy="4533900"/>
    <xdr:sp>
      <xdr:nvSpPr>
        <xdr:cNvPr id="1" name="Rectangle 1"/>
        <xdr:cNvSpPr>
          <a:spLocks/>
        </xdr:cNvSpPr>
      </xdr:nvSpPr>
      <xdr:spPr>
        <a:xfrm>
          <a:off x="85725" y="476250"/>
          <a:ext cx="9258300" cy="4533900"/>
        </a:xfrm>
        <a:prstGeom prst="rect">
          <a:avLst/>
        </a:prstGeom>
        <a:noFill/>
        <a:ln w="9525" cmpd="sng">
          <a:noFill/>
        </a:ln>
      </xdr:spPr>
      <xdr:txBody>
        <a:bodyPr vertOverflow="clip" wrap="square" lIns="91440" tIns="45720" rIns="91440" bIns="45720"/>
        <a:p>
          <a:pPr algn="ctr">
            <a:defRPr/>
          </a:pPr>
          <a:r>
            <a:rPr lang="en-US" cap="none" sz="5400" b="1" i="0" u="none" baseline="0"/>
            <a:t>Annual Work Plan &amp; Budget
</a:t>
          </a:r>
          <a:r>
            <a:rPr lang="en-US" cap="none" sz="5400" b="1" i="0" u="none" baseline="0"/>
            <a:t>2019-20
</a:t>
          </a:r>
          <a:r>
            <a:rPr lang="en-US" cap="none" sz="5400" b="1" i="0" u="none" baseline="0"/>
            <a:t>
</a:t>
          </a:r>
          <a:r>
            <a:rPr lang="en-US" cap="none" sz="4400" b="1" i="0" u="none" baseline="0"/>
            <a:t>State:TRIPURA.</a:t>
          </a:r>
          <a:r>
            <a:rPr lang="en-US" cap="none" sz="4400" b="1" i="0" u="none" baseline="0"/>
            <a:t>
</a:t>
          </a:r>
          <a:r>
            <a:rPr lang="en-US" cap="none" sz="4400" b="1" i="0" u="none" baseline="0"/>
            <a:t>Date of Submission:27.04.2019.</a:t>
          </a:r>
          <a:r>
            <a:rPr lang="en-US" cap="none" sz="4400" b="1" i="0" u="none" baseline="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view="pageBreakPreview" zoomScale="90" zoomScaleSheetLayoutView="90" zoomScalePageLayoutView="0" workbookViewId="0" topLeftCell="A1">
      <selection activeCell="A2" sqref="A2"/>
    </sheetView>
  </sheetViews>
  <sheetFormatPr defaultColWidth="9.140625" defaultRowHeight="12.75"/>
  <cols>
    <col min="15" max="15" width="12.421875" style="0" customWidth="1"/>
  </cols>
  <sheetData/>
  <sheetProtection/>
  <printOptions/>
  <pageMargins left="0.59" right="0.23" top="3.54" bottom="0.748031496062992" header="2.37" footer="0.31496062992126"/>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32"/>
  <sheetViews>
    <sheetView view="pageBreakPreview" zoomScaleSheetLayoutView="100" zoomScalePageLayoutView="0" workbookViewId="0" topLeftCell="A1">
      <selection activeCell="N11" sqref="N11:N18"/>
    </sheetView>
  </sheetViews>
  <sheetFormatPr defaultColWidth="9.140625" defaultRowHeight="12.75"/>
  <cols>
    <col min="1" max="1" width="5.28125" style="0" customWidth="1"/>
    <col min="2" max="2" width="10.7109375" style="0" customWidth="1"/>
    <col min="3" max="3" width="10.57421875" style="0" customWidth="1"/>
    <col min="5" max="5" width="9.57421875" style="0" customWidth="1"/>
    <col min="6" max="6" width="9.7109375" style="0" customWidth="1"/>
    <col min="7" max="7" width="9.421875" style="0" customWidth="1"/>
    <col min="8" max="8" width="10.57421875" style="0" customWidth="1"/>
    <col min="9" max="9" width="9.8515625" style="0" customWidth="1"/>
    <col min="11" max="11" width="11.8515625" style="0" customWidth="1"/>
    <col min="12" max="12" width="8.28125" style="0" customWidth="1"/>
    <col min="13" max="13" width="9.7109375" style="0" customWidth="1"/>
    <col min="14" max="14" width="9.8515625" style="0" customWidth="1"/>
  </cols>
  <sheetData>
    <row r="1" spans="4:14" ht="12.75" customHeight="1">
      <c r="D1" s="697"/>
      <c r="E1" s="697"/>
      <c r="F1" s="697"/>
      <c r="G1" s="697"/>
      <c r="H1" s="697"/>
      <c r="I1" s="697"/>
      <c r="J1" s="697"/>
      <c r="M1" s="744" t="s">
        <v>255</v>
      </c>
      <c r="N1" s="744"/>
    </row>
    <row r="2" spans="1:14" ht="15">
      <c r="A2" s="751" t="s">
        <v>0</v>
      </c>
      <c r="B2" s="751"/>
      <c r="C2" s="751"/>
      <c r="D2" s="751"/>
      <c r="E2" s="751"/>
      <c r="F2" s="751"/>
      <c r="G2" s="751"/>
      <c r="H2" s="751"/>
      <c r="I2" s="751"/>
      <c r="J2" s="751"/>
      <c r="K2" s="751"/>
      <c r="L2" s="751"/>
      <c r="M2" s="751"/>
      <c r="N2" s="751"/>
    </row>
    <row r="3" spans="1:14" ht="20.25">
      <c r="A3" s="645" t="s">
        <v>854</v>
      </c>
      <c r="B3" s="645"/>
      <c r="C3" s="645"/>
      <c r="D3" s="645"/>
      <c r="E3" s="645"/>
      <c r="F3" s="645"/>
      <c r="G3" s="645"/>
      <c r="H3" s="645"/>
      <c r="I3" s="645"/>
      <c r="J3" s="645"/>
      <c r="K3" s="645"/>
      <c r="L3" s="645"/>
      <c r="M3" s="645"/>
      <c r="N3" s="645"/>
    </row>
    <row r="4" ht="11.25" customHeight="1"/>
    <row r="5" spans="1:14" ht="15.75">
      <c r="A5" s="646" t="s">
        <v>901</v>
      </c>
      <c r="B5" s="646"/>
      <c r="C5" s="646"/>
      <c r="D5" s="646"/>
      <c r="E5" s="646"/>
      <c r="F5" s="646"/>
      <c r="G5" s="646"/>
      <c r="H5" s="646"/>
      <c r="I5" s="646"/>
      <c r="J5" s="646"/>
      <c r="K5" s="646"/>
      <c r="L5" s="646"/>
      <c r="M5" s="646"/>
      <c r="N5" s="646"/>
    </row>
    <row r="7" spans="1:15" ht="12.75">
      <c r="A7" s="699" t="s">
        <v>475</v>
      </c>
      <c r="B7" s="699"/>
      <c r="L7" s="745" t="s">
        <v>856</v>
      </c>
      <c r="M7" s="745"/>
      <c r="N7" s="745"/>
      <c r="O7" s="113"/>
    </row>
    <row r="8" spans="1:19" s="260" customFormat="1" ht="15.75" customHeight="1">
      <c r="A8" s="714" t="s">
        <v>2</v>
      </c>
      <c r="B8" s="714" t="s">
        <v>3</v>
      </c>
      <c r="C8" s="678" t="s">
        <v>4</v>
      </c>
      <c r="D8" s="678"/>
      <c r="E8" s="678"/>
      <c r="F8" s="708"/>
      <c r="G8" s="708"/>
      <c r="H8" s="678" t="s">
        <v>98</v>
      </c>
      <c r="I8" s="678"/>
      <c r="J8" s="678"/>
      <c r="K8" s="678"/>
      <c r="L8" s="678"/>
      <c r="M8" s="714" t="s">
        <v>132</v>
      </c>
      <c r="N8" s="653" t="s">
        <v>133</v>
      </c>
      <c r="Q8" s="269"/>
      <c r="R8" s="269"/>
      <c r="S8" s="269"/>
    </row>
    <row r="9" spans="1:19" s="260" customFormat="1" ht="38.25">
      <c r="A9" s="716"/>
      <c r="B9" s="716"/>
      <c r="C9" s="257" t="s">
        <v>5</v>
      </c>
      <c r="D9" s="257" t="s">
        <v>6</v>
      </c>
      <c r="E9" s="257" t="s">
        <v>356</v>
      </c>
      <c r="F9" s="253" t="s">
        <v>96</v>
      </c>
      <c r="G9" s="253" t="s">
        <v>114</v>
      </c>
      <c r="H9" s="257" t="s">
        <v>5</v>
      </c>
      <c r="I9" s="254" t="s">
        <v>6</v>
      </c>
      <c r="J9" s="257" t="s">
        <v>356</v>
      </c>
      <c r="K9" s="253" t="s">
        <v>96</v>
      </c>
      <c r="L9" s="253" t="s">
        <v>115</v>
      </c>
      <c r="M9" s="716"/>
      <c r="N9" s="653"/>
      <c r="Q9" s="269"/>
      <c r="R9" s="269"/>
      <c r="S9" s="269"/>
    </row>
    <row r="10" spans="1:19" s="15" customFormat="1" ht="12.75">
      <c r="A10" s="5">
        <v>1</v>
      </c>
      <c r="B10" s="5">
        <v>2</v>
      </c>
      <c r="C10" s="5">
        <v>3</v>
      </c>
      <c r="D10" s="5">
        <v>4</v>
      </c>
      <c r="E10" s="5">
        <v>5</v>
      </c>
      <c r="F10" s="6">
        <v>6</v>
      </c>
      <c r="G10" s="132">
        <v>7</v>
      </c>
      <c r="H10" s="5">
        <v>8</v>
      </c>
      <c r="I10" s="104">
        <v>9</v>
      </c>
      <c r="J10" s="5">
        <v>10</v>
      </c>
      <c r="K10" s="3">
        <v>11</v>
      </c>
      <c r="L10" s="112">
        <v>12</v>
      </c>
      <c r="M10" s="112">
        <v>13</v>
      </c>
      <c r="N10" s="3">
        <v>14</v>
      </c>
      <c r="Q10" s="28"/>
      <c r="R10" s="28"/>
      <c r="S10" s="28"/>
    </row>
    <row r="11" spans="1:14" ht="12.75">
      <c r="A11" s="8">
        <v>1</v>
      </c>
      <c r="B11" s="19" t="s">
        <v>476</v>
      </c>
      <c r="C11" s="9">
        <v>290</v>
      </c>
      <c r="D11" s="9">
        <v>19</v>
      </c>
      <c r="E11" s="9">
        <v>0</v>
      </c>
      <c r="F11" s="9">
        <v>0</v>
      </c>
      <c r="G11" s="72">
        <f>SUM(C11:F11)</f>
        <v>309</v>
      </c>
      <c r="H11" s="10">
        <f>C11</f>
        <v>290</v>
      </c>
      <c r="I11" s="10">
        <f>D11</f>
        <v>19</v>
      </c>
      <c r="J11" s="10">
        <f>E11</f>
        <v>0</v>
      </c>
      <c r="K11" s="10">
        <f>F11</f>
        <v>0</v>
      </c>
      <c r="L11" s="9">
        <f>SUM(H11:K11)</f>
        <v>309</v>
      </c>
      <c r="M11" s="9">
        <f>G11-L11</f>
        <v>0</v>
      </c>
      <c r="N11" s="748" t="s">
        <v>512</v>
      </c>
    </row>
    <row r="12" spans="1:14" ht="12.75">
      <c r="A12" s="8">
        <v>2</v>
      </c>
      <c r="B12" s="19" t="s">
        <v>477</v>
      </c>
      <c r="C12" s="9">
        <v>275</v>
      </c>
      <c r="D12" s="9">
        <v>0</v>
      </c>
      <c r="E12" s="9">
        <v>0</v>
      </c>
      <c r="F12" s="9">
        <v>7</v>
      </c>
      <c r="G12" s="72">
        <f aca="true" t="shared" si="0" ref="G12:G18">SUM(C12:F12)</f>
        <v>282</v>
      </c>
      <c r="H12" s="10">
        <f aca="true" t="shared" si="1" ref="H12:K18">C12</f>
        <v>275</v>
      </c>
      <c r="I12" s="10">
        <f t="shared" si="1"/>
        <v>0</v>
      </c>
      <c r="J12" s="10">
        <f t="shared" si="1"/>
        <v>0</v>
      </c>
      <c r="K12" s="10">
        <f t="shared" si="1"/>
        <v>7</v>
      </c>
      <c r="L12" s="9">
        <f aca="true" t="shared" si="2" ref="L12:L18">SUM(H12:K12)</f>
        <v>282</v>
      </c>
      <c r="M12" s="9">
        <f aca="true" t="shared" si="3" ref="M12:M18">G12-L12</f>
        <v>0</v>
      </c>
      <c r="N12" s="749"/>
    </row>
    <row r="13" spans="1:14" ht="12.75">
      <c r="A13" s="8">
        <v>3</v>
      </c>
      <c r="B13" s="19" t="s">
        <v>478</v>
      </c>
      <c r="C13" s="9">
        <v>209</v>
      </c>
      <c r="D13" s="9">
        <v>2</v>
      </c>
      <c r="E13" s="9">
        <v>0</v>
      </c>
      <c r="F13" s="9">
        <v>0</v>
      </c>
      <c r="G13" s="72">
        <f t="shared" si="0"/>
        <v>211</v>
      </c>
      <c r="H13" s="10">
        <f t="shared" si="1"/>
        <v>209</v>
      </c>
      <c r="I13" s="10">
        <f t="shared" si="1"/>
        <v>2</v>
      </c>
      <c r="J13" s="10">
        <f t="shared" si="1"/>
        <v>0</v>
      </c>
      <c r="K13" s="10">
        <f t="shared" si="1"/>
        <v>0</v>
      </c>
      <c r="L13" s="9">
        <f t="shared" si="2"/>
        <v>211</v>
      </c>
      <c r="M13" s="9">
        <f t="shared" si="3"/>
        <v>0</v>
      </c>
      <c r="N13" s="749"/>
    </row>
    <row r="14" spans="1:14" ht="12.75">
      <c r="A14" s="8">
        <v>4</v>
      </c>
      <c r="B14" s="19" t="s">
        <v>479</v>
      </c>
      <c r="C14" s="9">
        <v>273</v>
      </c>
      <c r="D14" s="9">
        <v>1</v>
      </c>
      <c r="E14" s="9">
        <v>0</v>
      </c>
      <c r="F14" s="9">
        <v>1</v>
      </c>
      <c r="G14" s="72">
        <f t="shared" si="0"/>
        <v>275</v>
      </c>
      <c r="H14" s="10">
        <f t="shared" si="1"/>
        <v>273</v>
      </c>
      <c r="I14" s="10">
        <f t="shared" si="1"/>
        <v>1</v>
      </c>
      <c r="J14" s="10">
        <f t="shared" si="1"/>
        <v>0</v>
      </c>
      <c r="K14" s="10">
        <f t="shared" si="1"/>
        <v>1</v>
      </c>
      <c r="L14" s="9">
        <f t="shared" si="2"/>
        <v>275</v>
      </c>
      <c r="M14" s="9">
        <f t="shared" si="3"/>
        <v>0</v>
      </c>
      <c r="N14" s="749"/>
    </row>
    <row r="15" spans="1:14" ht="12.75">
      <c r="A15" s="8">
        <v>5</v>
      </c>
      <c r="B15" s="19" t="s">
        <v>480</v>
      </c>
      <c r="C15" s="9">
        <v>298</v>
      </c>
      <c r="D15" s="9">
        <v>2</v>
      </c>
      <c r="E15" s="9">
        <v>0</v>
      </c>
      <c r="F15" s="9">
        <v>0</v>
      </c>
      <c r="G15" s="72">
        <f t="shared" si="0"/>
        <v>300</v>
      </c>
      <c r="H15" s="10">
        <f t="shared" si="1"/>
        <v>298</v>
      </c>
      <c r="I15" s="10">
        <f t="shared" si="1"/>
        <v>2</v>
      </c>
      <c r="J15" s="10">
        <f t="shared" si="1"/>
        <v>0</v>
      </c>
      <c r="K15" s="10">
        <f t="shared" si="1"/>
        <v>0</v>
      </c>
      <c r="L15" s="9">
        <f t="shared" si="2"/>
        <v>300</v>
      </c>
      <c r="M15" s="9">
        <f t="shared" si="3"/>
        <v>0</v>
      </c>
      <c r="N15" s="749"/>
    </row>
    <row r="16" spans="1:14" ht="12.75">
      <c r="A16" s="8">
        <v>6</v>
      </c>
      <c r="B16" s="19" t="s">
        <v>481</v>
      </c>
      <c r="C16" s="9">
        <v>142</v>
      </c>
      <c r="D16" s="9">
        <v>4</v>
      </c>
      <c r="E16" s="9">
        <v>0</v>
      </c>
      <c r="F16" s="9">
        <v>1</v>
      </c>
      <c r="G16" s="72">
        <f t="shared" si="0"/>
        <v>147</v>
      </c>
      <c r="H16" s="10">
        <f t="shared" si="1"/>
        <v>142</v>
      </c>
      <c r="I16" s="10">
        <f t="shared" si="1"/>
        <v>4</v>
      </c>
      <c r="J16" s="10">
        <f t="shared" si="1"/>
        <v>0</v>
      </c>
      <c r="K16" s="10">
        <f t="shared" si="1"/>
        <v>1</v>
      </c>
      <c r="L16" s="9">
        <f t="shared" si="2"/>
        <v>147</v>
      </c>
      <c r="M16" s="9">
        <f t="shared" si="3"/>
        <v>0</v>
      </c>
      <c r="N16" s="749"/>
    </row>
    <row r="17" spans="1:14" ht="12.75">
      <c r="A17" s="8">
        <v>7</v>
      </c>
      <c r="B17" s="19" t="s">
        <v>482</v>
      </c>
      <c r="C17" s="9">
        <v>236</v>
      </c>
      <c r="D17" s="19">
        <v>3</v>
      </c>
      <c r="E17" s="9">
        <v>0</v>
      </c>
      <c r="F17" s="19">
        <v>2</v>
      </c>
      <c r="G17" s="72">
        <f t="shared" si="0"/>
        <v>241</v>
      </c>
      <c r="H17" s="10">
        <f t="shared" si="1"/>
        <v>236</v>
      </c>
      <c r="I17" s="10">
        <f t="shared" si="1"/>
        <v>3</v>
      </c>
      <c r="J17" s="10">
        <f t="shared" si="1"/>
        <v>0</v>
      </c>
      <c r="K17" s="10">
        <f t="shared" si="1"/>
        <v>2</v>
      </c>
      <c r="L17" s="9">
        <f t="shared" si="2"/>
        <v>241</v>
      </c>
      <c r="M17" s="9">
        <f t="shared" si="3"/>
        <v>0</v>
      </c>
      <c r="N17" s="749"/>
    </row>
    <row r="18" spans="1:14" ht="12.75">
      <c r="A18" s="8">
        <v>8</v>
      </c>
      <c r="B18" s="19" t="s">
        <v>483</v>
      </c>
      <c r="C18" s="9">
        <v>321</v>
      </c>
      <c r="D18" s="9">
        <v>1</v>
      </c>
      <c r="E18" s="9">
        <v>0</v>
      </c>
      <c r="F18" s="9">
        <v>0</v>
      </c>
      <c r="G18" s="72">
        <f t="shared" si="0"/>
        <v>322</v>
      </c>
      <c r="H18" s="10">
        <f t="shared" si="1"/>
        <v>321</v>
      </c>
      <c r="I18" s="10">
        <f t="shared" si="1"/>
        <v>1</v>
      </c>
      <c r="J18" s="10">
        <f t="shared" si="1"/>
        <v>0</v>
      </c>
      <c r="K18" s="10">
        <f t="shared" si="1"/>
        <v>0</v>
      </c>
      <c r="L18" s="9">
        <f t="shared" si="2"/>
        <v>322</v>
      </c>
      <c r="M18" s="9">
        <f t="shared" si="3"/>
        <v>0</v>
      </c>
      <c r="N18" s="750"/>
    </row>
    <row r="19" spans="1:14" ht="12.75">
      <c r="A19" s="3"/>
      <c r="B19" s="27" t="s">
        <v>484</v>
      </c>
      <c r="C19" s="27">
        <f>SUM(C11:C18)</f>
        <v>2044</v>
      </c>
      <c r="D19" s="27">
        <f aca="true" t="shared" si="4" ref="D19:M19">SUM(D11:D18)</f>
        <v>32</v>
      </c>
      <c r="E19" s="27">
        <f t="shared" si="4"/>
        <v>0</v>
      </c>
      <c r="F19" s="27">
        <f t="shared" si="4"/>
        <v>11</v>
      </c>
      <c r="G19" s="27">
        <f t="shared" si="4"/>
        <v>2087</v>
      </c>
      <c r="H19" s="27">
        <f t="shared" si="4"/>
        <v>2044</v>
      </c>
      <c r="I19" s="27">
        <f t="shared" si="4"/>
        <v>32</v>
      </c>
      <c r="J19" s="27">
        <f t="shared" si="4"/>
        <v>0</v>
      </c>
      <c r="K19" s="27">
        <f t="shared" si="4"/>
        <v>11</v>
      </c>
      <c r="L19" s="27">
        <f t="shared" si="4"/>
        <v>2087</v>
      </c>
      <c r="M19" s="27">
        <f t="shared" si="4"/>
        <v>0</v>
      </c>
      <c r="N19" s="9"/>
    </row>
    <row r="20" spans="1:14" ht="12.75">
      <c r="A20" s="12"/>
      <c r="B20" s="13"/>
      <c r="C20" s="13"/>
      <c r="D20" s="13"/>
      <c r="E20" s="13"/>
      <c r="F20" s="13"/>
      <c r="G20" s="13"/>
      <c r="H20" s="13"/>
      <c r="I20" s="13"/>
      <c r="J20" s="13"/>
      <c r="K20" s="13"/>
      <c r="L20" s="13"/>
      <c r="M20" s="13"/>
      <c r="N20" s="13"/>
    </row>
    <row r="21" spans="1:5" ht="12.75">
      <c r="A21" s="11" t="s">
        <v>7</v>
      </c>
      <c r="E21" t="s">
        <v>10</v>
      </c>
    </row>
    <row r="22" ht="12.75">
      <c r="A22" t="s">
        <v>8</v>
      </c>
    </row>
    <row r="23" spans="1:14" ht="12.75">
      <c r="A23" t="s">
        <v>9</v>
      </c>
      <c r="K23" s="12" t="s">
        <v>10</v>
      </c>
      <c r="L23" s="12" t="s">
        <v>10</v>
      </c>
      <c r="M23" s="12"/>
      <c r="N23" s="12" t="s">
        <v>10</v>
      </c>
    </row>
    <row r="24" spans="1:12" ht="12.75">
      <c r="A24" s="16" t="s">
        <v>433</v>
      </c>
      <c r="J24" s="12"/>
      <c r="K24" s="12"/>
      <c r="L24" s="12"/>
    </row>
    <row r="25" spans="3:13" ht="12.75">
      <c r="C25" s="16" t="s">
        <v>434</v>
      </c>
      <c r="E25" s="13"/>
      <c r="F25" s="13"/>
      <c r="G25" s="13"/>
      <c r="H25" s="13"/>
      <c r="I25" s="13"/>
      <c r="J25" s="13"/>
      <c r="K25" s="13"/>
      <c r="L25" s="13"/>
      <c r="M25" s="13"/>
    </row>
    <row r="26" spans="5:14" ht="12.75">
      <c r="E26" s="13"/>
      <c r="F26" s="13"/>
      <c r="G26" s="13"/>
      <c r="H26" s="13"/>
      <c r="I26" s="13"/>
      <c r="J26" s="13"/>
      <c r="K26" s="13"/>
      <c r="L26" s="13"/>
      <c r="M26" s="13"/>
      <c r="N26" s="13"/>
    </row>
    <row r="27" spans="5:14" ht="12.75">
      <c r="E27" s="13"/>
      <c r="F27" s="13"/>
      <c r="G27" s="13"/>
      <c r="H27" s="13"/>
      <c r="I27" s="13"/>
      <c r="J27" s="13"/>
      <c r="K27" s="13"/>
      <c r="L27" s="13"/>
      <c r="M27" s="13"/>
      <c r="N27" s="13"/>
    </row>
    <row r="28" spans="1:15" s="16" customFormat="1" ht="15" customHeight="1">
      <c r="A28" s="15" t="s">
        <v>11</v>
      </c>
      <c r="B28" s="15"/>
      <c r="C28" s="15"/>
      <c r="D28" s="15"/>
      <c r="E28" s="15"/>
      <c r="F28" s="15"/>
      <c r="G28" s="15"/>
      <c r="J28" s="15"/>
      <c r="K28" s="667"/>
      <c r="L28" s="667"/>
      <c r="M28" s="667"/>
      <c r="N28" s="667"/>
      <c r="O28" s="86"/>
    </row>
    <row r="29" spans="2:14" s="16" customFormat="1" ht="12.75">
      <c r="B29" s="86"/>
      <c r="C29" s="86"/>
      <c r="D29" s="86"/>
      <c r="E29" s="86"/>
      <c r="F29" s="86"/>
      <c r="G29" s="86"/>
      <c r="H29" s="86"/>
      <c r="I29" s="86"/>
      <c r="J29" s="86"/>
      <c r="K29" s="667" t="s">
        <v>819</v>
      </c>
      <c r="L29" s="667"/>
      <c r="M29" s="667"/>
      <c r="N29" s="667"/>
    </row>
    <row r="30" spans="2:14" s="16" customFormat="1" ht="12.75">
      <c r="B30" s="86"/>
      <c r="C30" s="86"/>
      <c r="D30" s="86"/>
      <c r="E30" s="86"/>
      <c r="F30" s="86"/>
      <c r="G30" s="86"/>
      <c r="H30" s="86"/>
      <c r="I30" s="86"/>
      <c r="J30" s="86"/>
      <c r="K30" s="667" t="s">
        <v>488</v>
      </c>
      <c r="L30" s="667"/>
      <c r="M30" s="667"/>
      <c r="N30" s="667"/>
    </row>
    <row r="31" spans="11:14" s="16" customFormat="1" ht="12.75">
      <c r="K31" s="699" t="s">
        <v>80</v>
      </c>
      <c r="L31" s="699"/>
      <c r="M31" s="699"/>
      <c r="N31" s="699"/>
    </row>
    <row r="32" spans="1:14" ht="12.75">
      <c r="A32" s="746"/>
      <c r="B32" s="746"/>
      <c r="C32" s="746"/>
      <c r="D32" s="746"/>
      <c r="E32" s="746"/>
      <c r="F32" s="746"/>
      <c r="G32" s="746"/>
      <c r="H32" s="746"/>
      <c r="I32" s="746"/>
      <c r="J32" s="746"/>
      <c r="K32" s="746"/>
      <c r="L32" s="746"/>
      <c r="M32" s="746"/>
      <c r="N32" s="746"/>
    </row>
  </sheetData>
  <sheetProtection/>
  <mergeCells count="19">
    <mergeCell ref="N11:N18"/>
    <mergeCell ref="M8:M9"/>
    <mergeCell ref="A7:B7"/>
    <mergeCell ref="D1:J1"/>
    <mergeCell ref="A2:N2"/>
    <mergeCell ref="A3:N3"/>
    <mergeCell ref="A5:N5"/>
    <mergeCell ref="L7:N7"/>
    <mergeCell ref="M1:N1"/>
    <mergeCell ref="A32:N32"/>
    <mergeCell ref="N8:N9"/>
    <mergeCell ref="K31:N31"/>
    <mergeCell ref="A8:A9"/>
    <mergeCell ref="B8:B9"/>
    <mergeCell ref="C8:G8"/>
    <mergeCell ref="H8:L8"/>
    <mergeCell ref="K28:N28"/>
    <mergeCell ref="K29:N29"/>
    <mergeCell ref="K30:N30"/>
  </mergeCells>
  <printOptions horizontalCentered="1"/>
  <pageMargins left="0.74" right="0.27" top="1.08" bottom="0"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T41"/>
  <sheetViews>
    <sheetView view="pageBreakPreview" zoomScaleSheetLayoutView="100" zoomScalePageLayoutView="0" workbookViewId="0" topLeftCell="A1">
      <selection activeCell="O19" sqref="O19"/>
    </sheetView>
  </sheetViews>
  <sheetFormatPr defaultColWidth="9.140625" defaultRowHeight="12.75"/>
  <cols>
    <col min="1" max="1" width="7.140625" style="16" customWidth="1"/>
    <col min="2" max="2" width="10.8515625" style="16" customWidth="1"/>
    <col min="3" max="3" width="10.28125" style="16" customWidth="1"/>
    <col min="4" max="4" width="9.281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9.28125" style="16" customWidth="1"/>
    <col min="12" max="12" width="10.7109375" style="16" customWidth="1"/>
    <col min="13" max="13" width="10.57421875" style="16" customWidth="1"/>
    <col min="14" max="14" width="8.7109375" style="16" customWidth="1"/>
    <col min="15" max="15" width="8.8515625" style="16" customWidth="1"/>
    <col min="16" max="16" width="9.57421875" style="16" bestFit="1" customWidth="1"/>
    <col min="17" max="17" width="11.00390625" style="16" customWidth="1"/>
    <col min="18" max="16384" width="9.140625" style="16" customWidth="1"/>
  </cols>
  <sheetData>
    <row r="1" spans="15:17" ht="12.75" customHeight="1">
      <c r="O1" s="698" t="s">
        <v>56</v>
      </c>
      <c r="P1" s="698"/>
      <c r="Q1" s="698"/>
    </row>
    <row r="2" spans="1:17" ht="15">
      <c r="A2" s="751" t="s">
        <v>0</v>
      </c>
      <c r="B2" s="751"/>
      <c r="C2" s="751"/>
      <c r="D2" s="751"/>
      <c r="E2" s="751"/>
      <c r="F2" s="751"/>
      <c r="G2" s="751"/>
      <c r="H2" s="751"/>
      <c r="I2" s="751"/>
      <c r="J2" s="751"/>
      <c r="K2" s="751"/>
      <c r="L2" s="751"/>
      <c r="M2" s="751"/>
      <c r="N2" s="751"/>
      <c r="O2" s="751"/>
      <c r="P2" s="751"/>
      <c r="Q2" s="751"/>
    </row>
    <row r="3" spans="1:17" ht="20.25">
      <c r="A3" s="645" t="s">
        <v>854</v>
      </c>
      <c r="B3" s="645"/>
      <c r="C3" s="645"/>
      <c r="D3" s="645"/>
      <c r="E3" s="645"/>
      <c r="F3" s="645"/>
      <c r="G3" s="645"/>
      <c r="H3" s="645"/>
      <c r="I3" s="645"/>
      <c r="J3" s="645"/>
      <c r="K3" s="645"/>
      <c r="L3" s="645"/>
      <c r="M3" s="645"/>
      <c r="N3" s="645"/>
      <c r="O3" s="645"/>
      <c r="P3" s="645"/>
      <c r="Q3" s="645"/>
    </row>
    <row r="4" ht="11.25" customHeight="1"/>
    <row r="5" spans="1:17" ht="15.75" customHeight="1">
      <c r="A5" s="752" t="s">
        <v>902</v>
      </c>
      <c r="B5" s="752"/>
      <c r="C5" s="752"/>
      <c r="D5" s="752"/>
      <c r="E5" s="752"/>
      <c r="F5" s="752"/>
      <c r="G5" s="752"/>
      <c r="H5" s="752"/>
      <c r="I5" s="752"/>
      <c r="J5" s="752"/>
      <c r="K5" s="752"/>
      <c r="L5" s="752"/>
      <c r="M5" s="752"/>
      <c r="N5" s="752"/>
      <c r="O5" s="752"/>
      <c r="P5" s="752"/>
      <c r="Q5" s="752"/>
    </row>
    <row r="7" spans="1:17" ht="17.25" customHeight="1">
      <c r="A7" s="699" t="s">
        <v>475</v>
      </c>
      <c r="B7" s="699"/>
      <c r="N7" s="742" t="s">
        <v>934</v>
      </c>
      <c r="O7" s="742"/>
      <c r="P7" s="742"/>
      <c r="Q7" s="742"/>
    </row>
    <row r="8" spans="1:17" s="273" customFormat="1" ht="24" customHeight="1">
      <c r="A8" s="653" t="s">
        <v>2</v>
      </c>
      <c r="B8" s="653" t="s">
        <v>3</v>
      </c>
      <c r="C8" s="678" t="s">
        <v>937</v>
      </c>
      <c r="D8" s="678"/>
      <c r="E8" s="678"/>
      <c r="F8" s="678"/>
      <c r="G8" s="678"/>
      <c r="H8" s="710" t="s">
        <v>799</v>
      </c>
      <c r="I8" s="678"/>
      <c r="J8" s="678"/>
      <c r="K8" s="678"/>
      <c r="L8" s="678"/>
      <c r="M8" s="683" t="s">
        <v>105</v>
      </c>
      <c r="N8" s="753"/>
      <c r="O8" s="753"/>
      <c r="P8" s="753"/>
      <c r="Q8" s="684"/>
    </row>
    <row r="9" spans="1:18" s="258" customFormat="1" ht="45.75" customHeight="1">
      <c r="A9" s="653"/>
      <c r="B9" s="653"/>
      <c r="C9" s="257" t="s">
        <v>211</v>
      </c>
      <c r="D9" s="257" t="s">
        <v>212</v>
      </c>
      <c r="E9" s="257" t="s">
        <v>356</v>
      </c>
      <c r="F9" s="257" t="s">
        <v>218</v>
      </c>
      <c r="G9" s="257" t="s">
        <v>114</v>
      </c>
      <c r="H9" s="254" t="s">
        <v>211</v>
      </c>
      <c r="I9" s="257" t="s">
        <v>212</v>
      </c>
      <c r="J9" s="257" t="s">
        <v>356</v>
      </c>
      <c r="K9" s="253" t="s">
        <v>218</v>
      </c>
      <c r="L9" s="257" t="s">
        <v>359</v>
      </c>
      <c r="M9" s="257" t="s">
        <v>211</v>
      </c>
      <c r="N9" s="257" t="s">
        <v>212</v>
      </c>
      <c r="O9" s="257" t="s">
        <v>356</v>
      </c>
      <c r="P9" s="253" t="s">
        <v>218</v>
      </c>
      <c r="Q9" s="253" t="s">
        <v>116</v>
      </c>
      <c r="R9" s="274"/>
    </row>
    <row r="10" spans="1:17" s="67" customFormat="1" ht="12.75">
      <c r="A10" s="66">
        <v>1</v>
      </c>
      <c r="B10" s="66">
        <v>2</v>
      </c>
      <c r="C10" s="66">
        <v>3</v>
      </c>
      <c r="D10" s="66">
        <v>4</v>
      </c>
      <c r="E10" s="66">
        <v>5</v>
      </c>
      <c r="F10" s="66">
        <v>6</v>
      </c>
      <c r="G10" s="66">
        <v>7</v>
      </c>
      <c r="H10" s="66">
        <v>8</v>
      </c>
      <c r="I10" s="66">
        <v>9</v>
      </c>
      <c r="J10" s="66">
        <v>10</v>
      </c>
      <c r="K10" s="66">
        <v>11</v>
      </c>
      <c r="L10" s="66">
        <v>12</v>
      </c>
      <c r="M10" s="66">
        <v>13</v>
      </c>
      <c r="N10" s="66">
        <v>14</v>
      </c>
      <c r="O10" s="66">
        <v>15</v>
      </c>
      <c r="P10" s="66">
        <v>16</v>
      </c>
      <c r="Q10" s="66">
        <v>17</v>
      </c>
    </row>
    <row r="11" spans="1:20" ht="12.75">
      <c r="A11" s="8">
        <v>1</v>
      </c>
      <c r="B11" s="19" t="s">
        <v>476</v>
      </c>
      <c r="C11" s="19">
        <v>44654</v>
      </c>
      <c r="D11" s="19">
        <v>4543</v>
      </c>
      <c r="E11" s="19">
        <v>0</v>
      </c>
      <c r="F11" s="19">
        <v>1056</v>
      </c>
      <c r="G11" s="19">
        <f>SUM(C11:F11)</f>
        <v>50253</v>
      </c>
      <c r="H11" s="324">
        <v>34121</v>
      </c>
      <c r="I11" s="325">
        <v>3471</v>
      </c>
      <c r="J11" s="325">
        <v>0</v>
      </c>
      <c r="K11" s="325">
        <v>807</v>
      </c>
      <c r="L11" s="325">
        <f>SUM(H11:K11)</f>
        <v>38399</v>
      </c>
      <c r="M11" s="325">
        <f>H11*226</f>
        <v>7711346</v>
      </c>
      <c r="N11" s="325">
        <f>I11*226</f>
        <v>784446</v>
      </c>
      <c r="O11" s="325">
        <f>J11*226</f>
        <v>0</v>
      </c>
      <c r="P11" s="325">
        <f>K11*226</f>
        <v>182382</v>
      </c>
      <c r="Q11" s="325">
        <f>SUM(M11:P11)</f>
        <v>8678174</v>
      </c>
      <c r="R11" s="584"/>
      <c r="S11" s="501"/>
      <c r="T11" s="501"/>
    </row>
    <row r="12" spans="1:20" ht="12.75">
      <c r="A12" s="8">
        <v>2</v>
      </c>
      <c r="B12" s="19" t="s">
        <v>477</v>
      </c>
      <c r="C12" s="19">
        <v>32781</v>
      </c>
      <c r="D12" s="19">
        <v>230</v>
      </c>
      <c r="E12" s="19">
        <v>0</v>
      </c>
      <c r="F12" s="19">
        <v>3976</v>
      </c>
      <c r="G12" s="19">
        <f aca="true" t="shared" si="0" ref="G12:G18">SUM(C12:F12)</f>
        <v>36987</v>
      </c>
      <c r="H12" s="324">
        <v>25049</v>
      </c>
      <c r="I12" s="325">
        <v>176</v>
      </c>
      <c r="J12" s="325">
        <v>0</v>
      </c>
      <c r="K12" s="325">
        <v>3037</v>
      </c>
      <c r="L12" s="325">
        <f aca="true" t="shared" si="1" ref="L12:L18">SUM(H12:K12)</f>
        <v>28262</v>
      </c>
      <c r="M12" s="325">
        <f aca="true" t="shared" si="2" ref="M12:M18">H12*226</f>
        <v>5661074</v>
      </c>
      <c r="N12" s="325">
        <f aca="true" t="shared" si="3" ref="N12:N18">I12*226</f>
        <v>39776</v>
      </c>
      <c r="O12" s="325">
        <f aca="true" t="shared" si="4" ref="O12:O18">J12*226</f>
        <v>0</v>
      </c>
      <c r="P12" s="325">
        <f aca="true" t="shared" si="5" ref="P12:P18">K12*226</f>
        <v>686362</v>
      </c>
      <c r="Q12" s="325">
        <f aca="true" t="shared" si="6" ref="Q12:Q18">SUM(M12:P12)</f>
        <v>6387212</v>
      </c>
      <c r="R12" s="584"/>
      <c r="S12" s="501"/>
      <c r="T12" s="501"/>
    </row>
    <row r="13" spans="1:20" ht="12.75">
      <c r="A13" s="8">
        <v>3</v>
      </c>
      <c r="B13" s="19" t="s">
        <v>478</v>
      </c>
      <c r="C13" s="19">
        <v>21156</v>
      </c>
      <c r="D13" s="19">
        <v>467</v>
      </c>
      <c r="E13" s="19">
        <v>0</v>
      </c>
      <c r="F13" s="19">
        <v>33</v>
      </c>
      <c r="G13" s="19">
        <f t="shared" si="0"/>
        <v>21656</v>
      </c>
      <c r="H13" s="324">
        <v>16166</v>
      </c>
      <c r="I13" s="325">
        <v>357</v>
      </c>
      <c r="J13" s="325">
        <v>0</v>
      </c>
      <c r="K13" s="325">
        <v>25</v>
      </c>
      <c r="L13" s="325">
        <f t="shared" si="1"/>
        <v>16548</v>
      </c>
      <c r="M13" s="325">
        <f t="shared" si="2"/>
        <v>3653516</v>
      </c>
      <c r="N13" s="325">
        <f t="shared" si="3"/>
        <v>80682</v>
      </c>
      <c r="O13" s="325">
        <f t="shared" si="4"/>
        <v>0</v>
      </c>
      <c r="P13" s="325">
        <f t="shared" si="5"/>
        <v>5650</v>
      </c>
      <c r="Q13" s="325">
        <f t="shared" si="6"/>
        <v>3739848</v>
      </c>
      <c r="R13" s="584"/>
      <c r="S13" s="501"/>
      <c r="T13" s="501"/>
    </row>
    <row r="14" spans="1:20" ht="12.75">
      <c r="A14" s="8">
        <v>4</v>
      </c>
      <c r="B14" s="19" t="s">
        <v>479</v>
      </c>
      <c r="C14" s="19">
        <v>30302</v>
      </c>
      <c r="D14" s="19">
        <v>458</v>
      </c>
      <c r="E14" s="19">
        <v>0</v>
      </c>
      <c r="F14" s="19">
        <v>394</v>
      </c>
      <c r="G14" s="19">
        <f t="shared" si="0"/>
        <v>31154</v>
      </c>
      <c r="H14" s="324">
        <v>23155</v>
      </c>
      <c r="I14" s="325">
        <v>350</v>
      </c>
      <c r="J14" s="325">
        <v>0</v>
      </c>
      <c r="K14" s="325">
        <v>304</v>
      </c>
      <c r="L14" s="325">
        <f t="shared" si="1"/>
        <v>23809</v>
      </c>
      <c r="M14" s="325">
        <f t="shared" si="2"/>
        <v>5233030</v>
      </c>
      <c r="N14" s="325">
        <f t="shared" si="3"/>
        <v>79100</v>
      </c>
      <c r="O14" s="325">
        <f t="shared" si="4"/>
        <v>0</v>
      </c>
      <c r="P14" s="325">
        <f t="shared" si="5"/>
        <v>68704</v>
      </c>
      <c r="Q14" s="325">
        <f t="shared" si="6"/>
        <v>5380834</v>
      </c>
      <c r="R14" s="584"/>
      <c r="S14" s="501"/>
      <c r="T14" s="501"/>
    </row>
    <row r="15" spans="1:20" ht="12.75">
      <c r="A15" s="8">
        <v>5</v>
      </c>
      <c r="B15" s="19" t="s">
        <v>480</v>
      </c>
      <c r="C15" s="19">
        <v>31743</v>
      </c>
      <c r="D15" s="19">
        <v>0</v>
      </c>
      <c r="E15" s="19">
        <v>0</v>
      </c>
      <c r="F15" s="19">
        <v>104</v>
      </c>
      <c r="G15" s="19">
        <f t="shared" si="0"/>
        <v>31847</v>
      </c>
      <c r="H15" s="324">
        <v>24256</v>
      </c>
      <c r="I15" s="325">
        <v>0</v>
      </c>
      <c r="J15" s="325">
        <v>0</v>
      </c>
      <c r="K15" s="325">
        <v>79</v>
      </c>
      <c r="L15" s="325">
        <f t="shared" si="1"/>
        <v>24335</v>
      </c>
      <c r="M15" s="325">
        <f t="shared" si="2"/>
        <v>5481856</v>
      </c>
      <c r="N15" s="325">
        <f t="shared" si="3"/>
        <v>0</v>
      </c>
      <c r="O15" s="325">
        <f t="shared" si="4"/>
        <v>0</v>
      </c>
      <c r="P15" s="325">
        <f t="shared" si="5"/>
        <v>17854</v>
      </c>
      <c r="Q15" s="325">
        <f t="shared" si="6"/>
        <v>5499710</v>
      </c>
      <c r="R15" s="584"/>
      <c r="S15" s="501"/>
      <c r="T15" s="501"/>
    </row>
    <row r="16" spans="1:20" ht="12.75">
      <c r="A16" s="8">
        <v>6</v>
      </c>
      <c r="B16" s="19" t="s">
        <v>481</v>
      </c>
      <c r="C16" s="19">
        <v>21816</v>
      </c>
      <c r="D16" s="19">
        <v>461</v>
      </c>
      <c r="E16" s="19">
        <v>0</v>
      </c>
      <c r="F16" s="19">
        <v>2769</v>
      </c>
      <c r="G16" s="19">
        <f t="shared" si="0"/>
        <v>25046</v>
      </c>
      <c r="H16" s="324">
        <v>16670</v>
      </c>
      <c r="I16" s="325">
        <v>352</v>
      </c>
      <c r="J16" s="325">
        <v>0</v>
      </c>
      <c r="K16" s="325">
        <v>2115</v>
      </c>
      <c r="L16" s="325">
        <f t="shared" si="1"/>
        <v>19137</v>
      </c>
      <c r="M16" s="325">
        <f t="shared" si="2"/>
        <v>3767420</v>
      </c>
      <c r="N16" s="325">
        <f t="shared" si="3"/>
        <v>79552</v>
      </c>
      <c r="O16" s="325">
        <f t="shared" si="4"/>
        <v>0</v>
      </c>
      <c r="P16" s="325">
        <f t="shared" si="5"/>
        <v>477990</v>
      </c>
      <c r="Q16" s="325">
        <f t="shared" si="6"/>
        <v>4324962</v>
      </c>
      <c r="R16" s="584"/>
      <c r="S16" s="501"/>
      <c r="T16" s="501"/>
    </row>
    <row r="17" spans="1:20" ht="12.75">
      <c r="A17" s="8">
        <v>7</v>
      </c>
      <c r="B17" s="19" t="s">
        <v>482</v>
      </c>
      <c r="C17" s="19">
        <v>37947</v>
      </c>
      <c r="D17" s="19">
        <v>77</v>
      </c>
      <c r="E17" s="19">
        <v>0</v>
      </c>
      <c r="F17" s="19">
        <v>1096</v>
      </c>
      <c r="G17" s="19">
        <f t="shared" si="0"/>
        <v>39120</v>
      </c>
      <c r="H17" s="324">
        <v>28996</v>
      </c>
      <c r="I17" s="325">
        <v>59</v>
      </c>
      <c r="J17" s="325">
        <v>0</v>
      </c>
      <c r="K17" s="325">
        <v>837</v>
      </c>
      <c r="L17" s="325">
        <f t="shared" si="1"/>
        <v>29892</v>
      </c>
      <c r="M17" s="325">
        <f t="shared" si="2"/>
        <v>6553096</v>
      </c>
      <c r="N17" s="325">
        <f t="shared" si="3"/>
        <v>13334</v>
      </c>
      <c r="O17" s="325">
        <f t="shared" si="4"/>
        <v>0</v>
      </c>
      <c r="P17" s="325">
        <f t="shared" si="5"/>
        <v>189162</v>
      </c>
      <c r="Q17" s="325">
        <f t="shared" si="6"/>
        <v>6755592</v>
      </c>
      <c r="R17" s="584"/>
      <c r="S17" s="501"/>
      <c r="T17" s="501"/>
    </row>
    <row r="18" spans="1:20" ht="12.75">
      <c r="A18" s="8">
        <v>8</v>
      </c>
      <c r="B18" s="19" t="s">
        <v>483</v>
      </c>
      <c r="C18" s="19">
        <v>36256</v>
      </c>
      <c r="D18" s="19">
        <v>0</v>
      </c>
      <c r="E18" s="19">
        <v>0</v>
      </c>
      <c r="F18" s="19">
        <v>93</v>
      </c>
      <c r="G18" s="19">
        <f t="shared" si="0"/>
        <v>36349</v>
      </c>
      <c r="H18" s="324">
        <v>27704</v>
      </c>
      <c r="I18" s="325">
        <v>0</v>
      </c>
      <c r="J18" s="325">
        <v>0</v>
      </c>
      <c r="K18" s="325">
        <v>71</v>
      </c>
      <c r="L18" s="325">
        <f t="shared" si="1"/>
        <v>27775</v>
      </c>
      <c r="M18" s="325">
        <f t="shared" si="2"/>
        <v>6261104</v>
      </c>
      <c r="N18" s="325">
        <f t="shared" si="3"/>
        <v>0</v>
      </c>
      <c r="O18" s="325">
        <f t="shared" si="4"/>
        <v>0</v>
      </c>
      <c r="P18" s="325">
        <f t="shared" si="5"/>
        <v>16046</v>
      </c>
      <c r="Q18" s="325">
        <f t="shared" si="6"/>
        <v>6277150</v>
      </c>
      <c r="R18" s="584"/>
      <c r="S18" s="501"/>
      <c r="T18" s="501"/>
    </row>
    <row r="19" spans="1:20" s="15" customFormat="1" ht="12.75">
      <c r="A19" s="3"/>
      <c r="B19" s="27" t="s">
        <v>484</v>
      </c>
      <c r="C19" s="27">
        <f>SUM(C11:C18)</f>
        <v>256655</v>
      </c>
      <c r="D19" s="27">
        <f aca="true" t="shared" si="7" ref="D19:Q19">SUM(D11:D18)</f>
        <v>6236</v>
      </c>
      <c r="E19" s="27">
        <f t="shared" si="7"/>
        <v>0</v>
      </c>
      <c r="F19" s="27">
        <f t="shared" si="7"/>
        <v>9521</v>
      </c>
      <c r="G19" s="27">
        <f t="shared" si="7"/>
        <v>272412</v>
      </c>
      <c r="H19" s="27">
        <f t="shared" si="7"/>
        <v>196117</v>
      </c>
      <c r="I19" s="27">
        <f t="shared" si="7"/>
        <v>4765</v>
      </c>
      <c r="J19" s="27">
        <f t="shared" si="7"/>
        <v>0</v>
      </c>
      <c r="K19" s="27">
        <f t="shared" si="7"/>
        <v>7275</v>
      </c>
      <c r="L19" s="27">
        <f t="shared" si="7"/>
        <v>208157</v>
      </c>
      <c r="M19" s="27">
        <f t="shared" si="7"/>
        <v>44322442</v>
      </c>
      <c r="N19" s="27">
        <f t="shared" si="7"/>
        <v>1076890</v>
      </c>
      <c r="O19" s="27">
        <f t="shared" si="7"/>
        <v>0</v>
      </c>
      <c r="P19" s="27">
        <f t="shared" si="7"/>
        <v>1644150</v>
      </c>
      <c r="Q19" s="27">
        <f t="shared" si="7"/>
        <v>47043482</v>
      </c>
      <c r="R19" s="584"/>
      <c r="S19" s="501"/>
      <c r="T19" s="501"/>
    </row>
    <row r="20" spans="1:17" ht="12.75">
      <c r="A20" s="75"/>
      <c r="B20" s="21"/>
      <c r="C20" s="21"/>
      <c r="D20" s="21"/>
      <c r="E20" s="21"/>
      <c r="F20" s="21" t="s">
        <v>10</v>
      </c>
      <c r="G20" s="21"/>
      <c r="H20" s="21"/>
      <c r="I20" s="21"/>
      <c r="J20" s="21"/>
      <c r="K20" s="21"/>
      <c r="L20" s="21"/>
      <c r="M20" s="21"/>
      <c r="N20" s="21"/>
      <c r="O20" s="21"/>
      <c r="P20" s="21"/>
      <c r="Q20" s="21"/>
    </row>
    <row r="21" spans="1:11" ht="12.75">
      <c r="A21" s="11" t="s">
        <v>7</v>
      </c>
      <c r="B21"/>
      <c r="C21"/>
      <c r="D21"/>
      <c r="H21" s="322"/>
      <c r="I21" s="322"/>
      <c r="J21" s="322"/>
      <c r="K21" s="322"/>
    </row>
    <row r="22" spans="1:4" ht="12.75">
      <c r="A22" t="s">
        <v>8</v>
      </c>
      <c r="B22"/>
      <c r="C22"/>
      <c r="D22"/>
    </row>
    <row r="23" spans="1:12" ht="12.75">
      <c r="A23" t="s">
        <v>9</v>
      </c>
      <c r="B23"/>
      <c r="C23"/>
      <c r="D23"/>
      <c r="I23" s="12"/>
      <c r="J23" s="12"/>
      <c r="K23" s="12"/>
      <c r="L23" s="12"/>
    </row>
    <row r="24" spans="1:12" ht="12.75">
      <c r="A24" s="16" t="s">
        <v>433</v>
      </c>
      <c r="J24" s="12"/>
      <c r="K24" s="12"/>
      <c r="L24" s="12"/>
    </row>
    <row r="25" spans="3:13" ht="12.75">
      <c r="C25" s="16" t="s">
        <v>434</v>
      </c>
      <c r="E25" s="13"/>
      <c r="F25" s="13"/>
      <c r="G25" s="13"/>
      <c r="H25" s="13"/>
      <c r="I25" s="13"/>
      <c r="J25" s="13"/>
      <c r="K25" s="13"/>
      <c r="L25" s="13"/>
      <c r="M25" s="13"/>
    </row>
    <row r="26" spans="1:17" ht="15" customHeight="1">
      <c r="A26" s="15" t="s">
        <v>11</v>
      </c>
      <c r="B26" s="15"/>
      <c r="C26" s="15"/>
      <c r="D26" s="15"/>
      <c r="E26" s="15"/>
      <c r="F26" s="15"/>
      <c r="G26" s="15"/>
      <c r="H26" s="322"/>
      <c r="I26" s="338"/>
      <c r="J26" s="322"/>
      <c r="N26" s="667"/>
      <c r="O26" s="667"/>
      <c r="P26" s="667"/>
      <c r="Q26" s="667"/>
    </row>
    <row r="27" spans="2:17" ht="15" customHeight="1">
      <c r="B27" s="86"/>
      <c r="C27" s="86"/>
      <c r="D27" s="86"/>
      <c r="E27" s="86"/>
      <c r="F27" s="86"/>
      <c r="G27" s="86"/>
      <c r="H27" s="322"/>
      <c r="I27" s="338"/>
      <c r="J27" s="322"/>
      <c r="N27" s="667" t="s">
        <v>819</v>
      </c>
      <c r="O27" s="667"/>
      <c r="P27" s="667"/>
      <c r="Q27" s="667"/>
    </row>
    <row r="28" spans="2:17" ht="12.75" customHeight="1">
      <c r="B28" s="86"/>
      <c r="C28" s="86"/>
      <c r="D28" s="86"/>
      <c r="E28" s="86"/>
      <c r="F28" s="86"/>
      <c r="G28" s="86"/>
      <c r="H28" s="322"/>
      <c r="I28" s="338"/>
      <c r="J28" s="322"/>
      <c r="N28" s="667" t="s">
        <v>488</v>
      </c>
      <c r="O28" s="667"/>
      <c r="P28" s="667"/>
      <c r="Q28" s="667"/>
    </row>
    <row r="29" spans="8:17" ht="12.75">
      <c r="H29" s="322"/>
      <c r="I29" s="338"/>
      <c r="J29" s="322"/>
      <c r="N29" s="29" t="s">
        <v>80</v>
      </c>
      <c r="O29" s="29"/>
      <c r="P29" s="29"/>
      <c r="Q29" s="29"/>
    </row>
    <row r="30" spans="1:12" ht="12.75">
      <c r="A30" s="445"/>
      <c r="B30" s="445"/>
      <c r="C30" s="445"/>
      <c r="D30" s="445"/>
      <c r="E30" s="445"/>
      <c r="F30" s="31"/>
      <c r="G30" s="445"/>
      <c r="H30" s="445"/>
      <c r="I30" s="445"/>
      <c r="J30" s="445"/>
      <c r="K30" s="31"/>
      <c r="L30" s="445"/>
    </row>
    <row r="31" spans="6:14" ht="12.75">
      <c r="F31" s="15"/>
      <c r="G31" s="322"/>
      <c r="H31" s="322"/>
      <c r="I31" s="338"/>
      <c r="J31" s="322"/>
      <c r="K31" s="504"/>
      <c r="L31" s="504"/>
      <c r="M31" s="15"/>
      <c r="N31" s="322"/>
    </row>
    <row r="32" spans="6:14" ht="12.75">
      <c r="F32" s="15"/>
      <c r="G32" s="322"/>
      <c r="H32" s="322"/>
      <c r="I32" s="338"/>
      <c r="J32" s="322"/>
      <c r="K32" s="504"/>
      <c r="L32" s="504"/>
      <c r="M32" s="15"/>
      <c r="N32" s="322"/>
    </row>
    <row r="33" spans="6:14" ht="12.75">
      <c r="F33" s="15"/>
      <c r="G33" s="322"/>
      <c r="H33" s="322"/>
      <c r="I33" s="338"/>
      <c r="J33" s="322"/>
      <c r="K33" s="504"/>
      <c r="L33" s="504"/>
      <c r="M33" s="15"/>
      <c r="N33" s="322"/>
    </row>
    <row r="34" spans="6:14" ht="12.75">
      <c r="F34" s="15"/>
      <c r="G34" s="322"/>
      <c r="H34" s="322"/>
      <c r="I34" s="338"/>
      <c r="J34" s="322"/>
      <c r="K34" s="504"/>
      <c r="L34" s="504"/>
      <c r="M34" s="15"/>
      <c r="N34" s="322"/>
    </row>
    <row r="35" spans="6:14" ht="12.75">
      <c r="F35" s="15"/>
      <c r="G35" s="322"/>
      <c r="K35" s="15"/>
      <c r="L35" s="504"/>
      <c r="M35" s="15"/>
      <c r="N35" s="322"/>
    </row>
    <row r="36" spans="8:11" ht="12.75">
      <c r="H36" s="322"/>
      <c r="I36" s="322"/>
      <c r="J36" s="322"/>
      <c r="K36" s="322"/>
    </row>
    <row r="37" spans="8:11" ht="12.75">
      <c r="H37" s="322"/>
      <c r="I37" s="322"/>
      <c r="J37" s="322"/>
      <c r="K37" s="322"/>
    </row>
    <row r="38" spans="8:11" ht="12.75">
      <c r="H38" s="322"/>
      <c r="I38" s="322"/>
      <c r="J38" s="322"/>
      <c r="K38" s="322"/>
    </row>
    <row r="39" spans="8:11" ht="12.75">
      <c r="H39" s="322"/>
      <c r="I39" s="322"/>
      <c r="J39" s="322"/>
      <c r="K39" s="322"/>
    </row>
    <row r="40" spans="8:11" ht="12.75">
      <c r="H40" s="322"/>
      <c r="I40" s="322"/>
      <c r="J40" s="322"/>
      <c r="K40" s="322"/>
    </row>
    <row r="41" spans="8:11" ht="12.75">
      <c r="H41" s="322"/>
      <c r="I41" s="322"/>
      <c r="J41" s="322"/>
      <c r="K41" s="322"/>
    </row>
  </sheetData>
  <sheetProtection/>
  <mergeCells count="14">
    <mergeCell ref="N28:Q28"/>
    <mergeCell ref="O1:Q1"/>
    <mergeCell ref="A8:A9"/>
    <mergeCell ref="B8:B9"/>
    <mergeCell ref="C8:G8"/>
    <mergeCell ref="H8:L8"/>
    <mergeCell ref="M8:Q8"/>
    <mergeCell ref="A2:Q2"/>
    <mergeCell ref="A3:Q3"/>
    <mergeCell ref="A5:Q5"/>
    <mergeCell ref="A7:B7"/>
    <mergeCell ref="N7:Q7"/>
    <mergeCell ref="N26:Q26"/>
    <mergeCell ref="N27:Q27"/>
  </mergeCells>
  <printOptions horizontalCentered="1"/>
  <pageMargins left="0.45" right="0.25" top="1.25" bottom="0" header="0.31496062992125984" footer="0.31496062992125984"/>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U38"/>
  <sheetViews>
    <sheetView view="pageBreakPreview" zoomScaleSheetLayoutView="100" zoomScalePageLayoutView="0" workbookViewId="0" topLeftCell="B1">
      <selection activeCell="O19" sqref="O19"/>
    </sheetView>
  </sheetViews>
  <sheetFormatPr defaultColWidth="9.140625" defaultRowHeight="12.75"/>
  <cols>
    <col min="1" max="1" width="6.28125" style="16" customWidth="1"/>
    <col min="2" max="3" width="10.28125" style="16" customWidth="1"/>
    <col min="4" max="4" width="9.281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9.28125" style="16" customWidth="1"/>
    <col min="12" max="12" width="11.7109375" style="16" customWidth="1"/>
    <col min="13" max="13" width="10.28125" style="16" customWidth="1"/>
    <col min="14" max="14" width="8.7109375" style="16" customWidth="1"/>
    <col min="15" max="15" width="8.8515625" style="16" customWidth="1"/>
    <col min="16" max="16" width="9.140625" style="16" customWidth="1"/>
    <col min="17" max="17" width="11.00390625" style="16" customWidth="1"/>
    <col min="18" max="18" width="9.140625" style="16" hidden="1" customWidth="1"/>
    <col min="19" max="21" width="7.421875" style="16" customWidth="1"/>
    <col min="22" max="16384" width="9.140625" style="16" customWidth="1"/>
  </cols>
  <sheetData>
    <row r="1" spans="15:17" ht="12.75" customHeight="1">
      <c r="O1" s="698" t="s">
        <v>57</v>
      </c>
      <c r="P1" s="698"/>
      <c r="Q1" s="698"/>
    </row>
    <row r="2" spans="1:17" ht="15.75">
      <c r="A2" s="644" t="s">
        <v>0</v>
      </c>
      <c r="B2" s="644"/>
      <c r="C2" s="644"/>
      <c r="D2" s="644"/>
      <c r="E2" s="644"/>
      <c r="F2" s="644"/>
      <c r="G2" s="644"/>
      <c r="H2" s="644"/>
      <c r="I2" s="644"/>
      <c r="J2" s="644"/>
      <c r="K2" s="644"/>
      <c r="L2" s="644"/>
      <c r="M2" s="644"/>
      <c r="N2" s="644"/>
      <c r="O2" s="644"/>
      <c r="P2" s="644"/>
      <c r="Q2" s="644"/>
    </row>
    <row r="3" spans="1:17" ht="20.25">
      <c r="A3" s="645" t="s">
        <v>854</v>
      </c>
      <c r="B3" s="645"/>
      <c r="C3" s="645"/>
      <c r="D3" s="645"/>
      <c r="E3" s="645"/>
      <c r="F3" s="645"/>
      <c r="G3" s="645"/>
      <c r="H3" s="645"/>
      <c r="I3" s="645"/>
      <c r="J3" s="645"/>
      <c r="K3" s="645"/>
      <c r="L3" s="645"/>
      <c r="M3" s="645"/>
      <c r="N3" s="645"/>
      <c r="O3" s="645"/>
      <c r="P3" s="645"/>
      <c r="Q3" s="645"/>
    </row>
    <row r="4" ht="11.25" customHeight="1"/>
    <row r="5" spans="1:17" ht="15.75" customHeight="1">
      <c r="A5" s="752" t="s">
        <v>903</v>
      </c>
      <c r="B5" s="752"/>
      <c r="C5" s="752"/>
      <c r="D5" s="752"/>
      <c r="E5" s="752"/>
      <c r="F5" s="752"/>
      <c r="G5" s="752"/>
      <c r="H5" s="752"/>
      <c r="I5" s="752"/>
      <c r="J5" s="752"/>
      <c r="K5" s="752"/>
      <c r="L5" s="752"/>
      <c r="M5" s="752"/>
      <c r="N5" s="752"/>
      <c r="O5" s="752"/>
      <c r="P5" s="752"/>
      <c r="Q5" s="752"/>
    </row>
    <row r="7" spans="1:18" ht="12" customHeight="1">
      <c r="A7" s="699" t="s">
        <v>475</v>
      </c>
      <c r="B7" s="699"/>
      <c r="N7" s="742" t="s">
        <v>934</v>
      </c>
      <c r="O7" s="742"/>
      <c r="P7" s="742"/>
      <c r="Q7" s="742"/>
      <c r="R7" s="742"/>
    </row>
    <row r="8" spans="1:17" s="258" customFormat="1" ht="21" customHeight="1">
      <c r="A8" s="653" t="s">
        <v>2</v>
      </c>
      <c r="B8" s="653" t="s">
        <v>3</v>
      </c>
      <c r="C8" s="678" t="s">
        <v>938</v>
      </c>
      <c r="D8" s="678"/>
      <c r="E8" s="678"/>
      <c r="F8" s="708"/>
      <c r="G8" s="708"/>
      <c r="H8" s="710" t="s">
        <v>799</v>
      </c>
      <c r="I8" s="678"/>
      <c r="J8" s="678"/>
      <c r="K8" s="678"/>
      <c r="L8" s="678"/>
      <c r="M8" s="683" t="s">
        <v>105</v>
      </c>
      <c r="N8" s="753"/>
      <c r="O8" s="753"/>
      <c r="P8" s="753"/>
      <c r="Q8" s="684"/>
    </row>
    <row r="9" spans="1:19" s="258" customFormat="1" ht="48" customHeight="1">
      <c r="A9" s="653"/>
      <c r="B9" s="653"/>
      <c r="C9" s="257" t="s">
        <v>211</v>
      </c>
      <c r="D9" s="257" t="s">
        <v>212</v>
      </c>
      <c r="E9" s="257" t="s">
        <v>356</v>
      </c>
      <c r="F9" s="253" t="s">
        <v>218</v>
      </c>
      <c r="G9" s="253" t="s">
        <v>114</v>
      </c>
      <c r="H9" s="257" t="s">
        <v>211</v>
      </c>
      <c r="I9" s="257" t="s">
        <v>212</v>
      </c>
      <c r="J9" s="257" t="s">
        <v>356</v>
      </c>
      <c r="K9" s="257" t="s">
        <v>218</v>
      </c>
      <c r="L9" s="257" t="s">
        <v>115</v>
      </c>
      <c r="M9" s="257" t="s">
        <v>211</v>
      </c>
      <c r="N9" s="257" t="s">
        <v>212</v>
      </c>
      <c r="O9" s="257" t="s">
        <v>356</v>
      </c>
      <c r="P9" s="253" t="s">
        <v>218</v>
      </c>
      <c r="Q9" s="257" t="s">
        <v>116</v>
      </c>
      <c r="R9" s="275"/>
      <c r="S9" s="274"/>
    </row>
    <row r="10" spans="1:17" s="15" customFormat="1" ht="12.75">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21" ht="12.75">
      <c r="A11" s="8">
        <v>1</v>
      </c>
      <c r="B11" s="19" t="s">
        <v>476</v>
      </c>
      <c r="C11" s="19">
        <v>29629</v>
      </c>
      <c r="D11" s="19">
        <v>4326</v>
      </c>
      <c r="E11" s="19">
        <v>0</v>
      </c>
      <c r="F11" s="25">
        <v>0</v>
      </c>
      <c r="G11" s="25">
        <f>SUM(C11:F11)</f>
        <v>33955</v>
      </c>
      <c r="H11" s="325">
        <v>21056</v>
      </c>
      <c r="I11" s="325">
        <v>3075</v>
      </c>
      <c r="J11" s="325">
        <v>0</v>
      </c>
      <c r="K11" s="325">
        <v>0</v>
      </c>
      <c r="L11" s="325">
        <f>SUM(H11:K11)</f>
        <v>24131</v>
      </c>
      <c r="M11" s="325">
        <f>H11*225</f>
        <v>4737600</v>
      </c>
      <c r="N11" s="325">
        <f>I11*225</f>
        <v>691875</v>
      </c>
      <c r="O11" s="325">
        <f>J11*225</f>
        <v>0</v>
      </c>
      <c r="P11" s="325">
        <f>K11*225</f>
        <v>0</v>
      </c>
      <c r="Q11" s="325">
        <f>SUM(M11:P11)</f>
        <v>5429475</v>
      </c>
      <c r="S11" s="322"/>
      <c r="T11" s="322"/>
      <c r="U11" s="322"/>
    </row>
    <row r="12" spans="1:21" ht="12.75">
      <c r="A12" s="8">
        <v>2</v>
      </c>
      <c r="B12" s="19" t="s">
        <v>477</v>
      </c>
      <c r="C12" s="19">
        <v>23593</v>
      </c>
      <c r="D12" s="19">
        <v>0</v>
      </c>
      <c r="E12" s="19">
        <v>0</v>
      </c>
      <c r="F12" s="25">
        <v>425</v>
      </c>
      <c r="G12" s="25">
        <f aca="true" t="shared" si="0" ref="G12:G18">SUM(C12:F12)</f>
        <v>24018</v>
      </c>
      <c r="H12" s="325">
        <v>16766</v>
      </c>
      <c r="I12" s="325">
        <v>0</v>
      </c>
      <c r="J12" s="325">
        <v>0</v>
      </c>
      <c r="K12" s="325">
        <v>302</v>
      </c>
      <c r="L12" s="325">
        <f aca="true" t="shared" si="1" ref="L12:L18">SUM(H12:K12)</f>
        <v>17068</v>
      </c>
      <c r="M12" s="325">
        <f aca="true" t="shared" si="2" ref="M12:M18">H12*225</f>
        <v>3772350</v>
      </c>
      <c r="N12" s="325">
        <f aca="true" t="shared" si="3" ref="N12:N18">I12*225</f>
        <v>0</v>
      </c>
      <c r="O12" s="325">
        <f aca="true" t="shared" si="4" ref="O12:O18">J12*225</f>
        <v>0</v>
      </c>
      <c r="P12" s="325">
        <f aca="true" t="shared" si="5" ref="P12:P18">K12*225</f>
        <v>67950</v>
      </c>
      <c r="Q12" s="325">
        <f aca="true" t="shared" si="6" ref="Q12:Q18">SUM(M12:P12)</f>
        <v>3840300</v>
      </c>
      <c r="S12" s="322"/>
      <c r="T12" s="322"/>
      <c r="U12" s="322"/>
    </row>
    <row r="13" spans="1:21" ht="12.75">
      <c r="A13" s="8">
        <v>3</v>
      </c>
      <c r="B13" s="19" t="s">
        <v>478</v>
      </c>
      <c r="C13" s="19">
        <v>14604</v>
      </c>
      <c r="D13" s="19">
        <v>248</v>
      </c>
      <c r="E13" s="19">
        <v>0</v>
      </c>
      <c r="F13" s="25">
        <v>0</v>
      </c>
      <c r="G13" s="25">
        <f t="shared" si="0"/>
        <v>14852</v>
      </c>
      <c r="H13" s="325">
        <v>10378</v>
      </c>
      <c r="I13" s="325">
        <v>176</v>
      </c>
      <c r="J13" s="325">
        <v>0</v>
      </c>
      <c r="K13" s="325">
        <v>0</v>
      </c>
      <c r="L13" s="325">
        <f t="shared" si="1"/>
        <v>10554</v>
      </c>
      <c r="M13" s="325">
        <f t="shared" si="2"/>
        <v>2335050</v>
      </c>
      <c r="N13" s="325">
        <f t="shared" si="3"/>
        <v>39600</v>
      </c>
      <c r="O13" s="325">
        <f t="shared" si="4"/>
        <v>0</v>
      </c>
      <c r="P13" s="325">
        <f t="shared" si="5"/>
        <v>0</v>
      </c>
      <c r="Q13" s="325">
        <f t="shared" si="6"/>
        <v>2374650</v>
      </c>
      <c r="S13" s="322"/>
      <c r="T13" s="322"/>
      <c r="U13" s="322"/>
    </row>
    <row r="14" spans="1:21" ht="12.75">
      <c r="A14" s="8">
        <v>4</v>
      </c>
      <c r="B14" s="19" t="s">
        <v>479</v>
      </c>
      <c r="C14" s="19">
        <v>20340</v>
      </c>
      <c r="D14" s="19">
        <v>431</v>
      </c>
      <c r="E14" s="19">
        <v>0</v>
      </c>
      <c r="F14" s="25">
        <v>53</v>
      </c>
      <c r="G14" s="25">
        <f t="shared" si="0"/>
        <v>20824</v>
      </c>
      <c r="H14" s="325">
        <v>14455</v>
      </c>
      <c r="I14" s="325">
        <v>306</v>
      </c>
      <c r="J14" s="325">
        <v>0</v>
      </c>
      <c r="K14" s="325">
        <v>38</v>
      </c>
      <c r="L14" s="325">
        <f t="shared" si="1"/>
        <v>14799</v>
      </c>
      <c r="M14" s="325">
        <f t="shared" si="2"/>
        <v>3252375</v>
      </c>
      <c r="N14" s="325">
        <f t="shared" si="3"/>
        <v>68850</v>
      </c>
      <c r="O14" s="325">
        <f t="shared" si="4"/>
        <v>0</v>
      </c>
      <c r="P14" s="325">
        <f t="shared" si="5"/>
        <v>8550</v>
      </c>
      <c r="Q14" s="325">
        <f t="shared" si="6"/>
        <v>3329775</v>
      </c>
      <c r="S14" s="322"/>
      <c r="T14" s="322"/>
      <c r="U14" s="322"/>
    </row>
    <row r="15" spans="1:21" ht="12.75">
      <c r="A15" s="8">
        <v>5</v>
      </c>
      <c r="B15" s="19" t="s">
        <v>480</v>
      </c>
      <c r="C15" s="19">
        <v>22352</v>
      </c>
      <c r="D15" s="19">
        <v>458</v>
      </c>
      <c r="E15" s="19">
        <v>0</v>
      </c>
      <c r="F15" s="25">
        <v>0</v>
      </c>
      <c r="G15" s="25">
        <f t="shared" si="0"/>
        <v>22810</v>
      </c>
      <c r="H15" s="325">
        <v>15884</v>
      </c>
      <c r="I15" s="325">
        <v>325</v>
      </c>
      <c r="J15" s="325">
        <v>0</v>
      </c>
      <c r="K15" s="325">
        <v>0</v>
      </c>
      <c r="L15" s="325">
        <f t="shared" si="1"/>
        <v>16209</v>
      </c>
      <c r="M15" s="325">
        <f t="shared" si="2"/>
        <v>3573900</v>
      </c>
      <c r="N15" s="325">
        <f t="shared" si="3"/>
        <v>73125</v>
      </c>
      <c r="O15" s="325">
        <f t="shared" si="4"/>
        <v>0</v>
      </c>
      <c r="P15" s="325">
        <f t="shared" si="5"/>
        <v>0</v>
      </c>
      <c r="Q15" s="325">
        <f t="shared" si="6"/>
        <v>3647025</v>
      </c>
      <c r="S15" s="322"/>
      <c r="T15" s="322"/>
      <c r="U15" s="322"/>
    </row>
    <row r="16" spans="1:21" ht="12.75">
      <c r="A16" s="8">
        <v>6</v>
      </c>
      <c r="B16" s="19" t="s">
        <v>481</v>
      </c>
      <c r="C16" s="19">
        <v>14521</v>
      </c>
      <c r="D16" s="19">
        <v>757</v>
      </c>
      <c r="E16" s="19">
        <v>0</v>
      </c>
      <c r="F16" s="25">
        <v>178</v>
      </c>
      <c r="G16" s="25">
        <f t="shared" si="0"/>
        <v>15456</v>
      </c>
      <c r="H16" s="325">
        <v>10319</v>
      </c>
      <c r="I16" s="325">
        <v>538</v>
      </c>
      <c r="J16" s="325">
        <v>0</v>
      </c>
      <c r="K16" s="325">
        <v>127</v>
      </c>
      <c r="L16" s="325">
        <f t="shared" si="1"/>
        <v>10984</v>
      </c>
      <c r="M16" s="325">
        <f t="shared" si="2"/>
        <v>2321775</v>
      </c>
      <c r="N16" s="325">
        <f t="shared" si="3"/>
        <v>121050</v>
      </c>
      <c r="O16" s="325">
        <f t="shared" si="4"/>
        <v>0</v>
      </c>
      <c r="P16" s="325">
        <f t="shared" si="5"/>
        <v>28575</v>
      </c>
      <c r="Q16" s="325">
        <f t="shared" si="6"/>
        <v>2471400</v>
      </c>
      <c r="S16" s="322"/>
      <c r="T16" s="322"/>
      <c r="U16" s="322"/>
    </row>
    <row r="17" spans="1:21" ht="12.75">
      <c r="A17" s="8">
        <v>7</v>
      </c>
      <c r="B17" s="19" t="s">
        <v>482</v>
      </c>
      <c r="C17" s="19">
        <v>20141</v>
      </c>
      <c r="D17" s="19">
        <v>594</v>
      </c>
      <c r="E17" s="19">
        <v>0</v>
      </c>
      <c r="F17" s="25">
        <v>343</v>
      </c>
      <c r="G17" s="25">
        <f t="shared" si="0"/>
        <v>21078</v>
      </c>
      <c r="H17" s="325">
        <v>14313</v>
      </c>
      <c r="I17" s="325">
        <v>422</v>
      </c>
      <c r="J17" s="325">
        <v>0</v>
      </c>
      <c r="K17" s="325">
        <v>243</v>
      </c>
      <c r="L17" s="325">
        <f t="shared" si="1"/>
        <v>14978</v>
      </c>
      <c r="M17" s="325">
        <f t="shared" si="2"/>
        <v>3220425</v>
      </c>
      <c r="N17" s="325">
        <f t="shared" si="3"/>
        <v>94950</v>
      </c>
      <c r="O17" s="325">
        <f t="shared" si="4"/>
        <v>0</v>
      </c>
      <c r="P17" s="325">
        <f t="shared" si="5"/>
        <v>54675</v>
      </c>
      <c r="Q17" s="325">
        <f t="shared" si="6"/>
        <v>3370050</v>
      </c>
      <c r="S17" s="322"/>
      <c r="T17" s="322"/>
      <c r="U17" s="322"/>
    </row>
    <row r="18" spans="1:21" ht="12.75">
      <c r="A18" s="8">
        <v>8</v>
      </c>
      <c r="B18" s="19" t="s">
        <v>483</v>
      </c>
      <c r="C18" s="19">
        <v>20675</v>
      </c>
      <c r="D18" s="19">
        <v>146</v>
      </c>
      <c r="E18" s="19">
        <v>0</v>
      </c>
      <c r="F18" s="25">
        <v>0</v>
      </c>
      <c r="G18" s="25">
        <f t="shared" si="0"/>
        <v>20821</v>
      </c>
      <c r="H18" s="325">
        <v>14694</v>
      </c>
      <c r="I18" s="325">
        <v>104</v>
      </c>
      <c r="J18" s="325">
        <v>0</v>
      </c>
      <c r="K18" s="325">
        <v>0</v>
      </c>
      <c r="L18" s="325">
        <f t="shared" si="1"/>
        <v>14798</v>
      </c>
      <c r="M18" s="325">
        <f t="shared" si="2"/>
        <v>3306150</v>
      </c>
      <c r="N18" s="325">
        <f t="shared" si="3"/>
        <v>23400</v>
      </c>
      <c r="O18" s="325">
        <f t="shared" si="4"/>
        <v>0</v>
      </c>
      <c r="P18" s="325">
        <f t="shared" si="5"/>
        <v>0</v>
      </c>
      <c r="Q18" s="325">
        <f t="shared" si="6"/>
        <v>3329550</v>
      </c>
      <c r="S18" s="322"/>
      <c r="T18" s="322"/>
      <c r="U18" s="322"/>
    </row>
    <row r="19" spans="1:21" s="15" customFormat="1" ht="12.75">
      <c r="A19" s="3"/>
      <c r="B19" s="27" t="s">
        <v>484</v>
      </c>
      <c r="C19" s="27">
        <f>SUM(C11:C18)</f>
        <v>165855</v>
      </c>
      <c r="D19" s="27">
        <f aca="true" t="shared" si="7" ref="D19:Q19">SUM(D11:D18)</f>
        <v>6960</v>
      </c>
      <c r="E19" s="27">
        <f t="shared" si="7"/>
        <v>0</v>
      </c>
      <c r="F19" s="27">
        <f t="shared" si="7"/>
        <v>999</v>
      </c>
      <c r="G19" s="27">
        <f t="shared" si="7"/>
        <v>173814</v>
      </c>
      <c r="H19" s="27">
        <f t="shared" si="7"/>
        <v>117865</v>
      </c>
      <c r="I19" s="27">
        <f t="shared" si="7"/>
        <v>4946</v>
      </c>
      <c r="J19" s="27">
        <f t="shared" si="7"/>
        <v>0</v>
      </c>
      <c r="K19" s="27">
        <f t="shared" si="7"/>
        <v>710</v>
      </c>
      <c r="L19" s="27">
        <f t="shared" si="7"/>
        <v>123521</v>
      </c>
      <c r="M19" s="480">
        <f t="shared" si="7"/>
        <v>26519625</v>
      </c>
      <c r="N19" s="480">
        <f t="shared" si="7"/>
        <v>1112850</v>
      </c>
      <c r="O19" s="480">
        <f t="shared" si="7"/>
        <v>0</v>
      </c>
      <c r="P19" s="480">
        <f t="shared" si="7"/>
        <v>159750</v>
      </c>
      <c r="Q19" s="480">
        <f t="shared" si="7"/>
        <v>27792225</v>
      </c>
      <c r="S19" s="322"/>
      <c r="T19" s="322"/>
      <c r="U19" s="322"/>
    </row>
    <row r="20" spans="1:17" ht="12.75">
      <c r="A20" s="75"/>
      <c r="B20" s="21"/>
      <c r="C20" s="21"/>
      <c r="D20" s="21"/>
      <c r="E20" s="21"/>
      <c r="F20" s="21"/>
      <c r="G20" s="21"/>
      <c r="H20" s="21"/>
      <c r="I20" s="21"/>
      <c r="J20" s="21"/>
      <c r="K20" s="21"/>
      <c r="L20" s="21"/>
      <c r="M20" s="21"/>
      <c r="N20" s="21"/>
      <c r="O20" s="21"/>
      <c r="P20" s="21"/>
      <c r="Q20" s="501"/>
    </row>
    <row r="21" spans="1:11" ht="12.75">
      <c r="A21" s="11" t="s">
        <v>7</v>
      </c>
      <c r="B21"/>
      <c r="C21"/>
      <c r="D21"/>
      <c r="G21" s="16" t="s">
        <v>10</v>
      </c>
      <c r="H21" s="322"/>
      <c r="I21" s="322"/>
      <c r="J21" s="546"/>
      <c r="K21" s="322"/>
    </row>
    <row r="22" spans="1:4" ht="12.75">
      <c r="A22" t="s">
        <v>8</v>
      </c>
      <c r="B22"/>
      <c r="C22"/>
      <c r="D22"/>
    </row>
    <row r="23" spans="1:12" ht="12.75">
      <c r="A23" t="s">
        <v>9</v>
      </c>
      <c r="B23"/>
      <c r="C23"/>
      <c r="D23"/>
      <c r="I23" s="12"/>
      <c r="J23" s="12"/>
      <c r="K23" s="12"/>
      <c r="L23" s="12"/>
    </row>
    <row r="24" spans="1:12" ht="12.75">
      <c r="A24" s="16" t="s">
        <v>433</v>
      </c>
      <c r="J24" s="12"/>
      <c r="K24" s="12"/>
      <c r="L24" s="12"/>
    </row>
    <row r="25" spans="3:13" ht="12.75">
      <c r="C25" s="16" t="s">
        <v>435</v>
      </c>
      <c r="E25" s="13"/>
      <c r="F25" s="13"/>
      <c r="G25" s="13"/>
      <c r="H25" s="13"/>
      <c r="I25" s="13"/>
      <c r="J25" s="13"/>
      <c r="K25" s="13"/>
      <c r="L25" s="13"/>
      <c r="M25" s="13"/>
    </row>
    <row r="27" spans="1:17" ht="15" customHeight="1">
      <c r="A27" s="15" t="s">
        <v>11</v>
      </c>
      <c r="B27" s="15"/>
      <c r="C27" s="15"/>
      <c r="D27" s="15"/>
      <c r="E27" s="15"/>
      <c r="F27" s="15"/>
      <c r="G27" s="15"/>
      <c r="J27" s="15"/>
      <c r="N27" s="667"/>
      <c r="O27" s="667"/>
      <c r="P27" s="667"/>
      <c r="Q27" s="667"/>
    </row>
    <row r="28" spans="2:17" ht="15" customHeight="1">
      <c r="B28" s="86"/>
      <c r="C28" s="86"/>
      <c r="D28" s="86"/>
      <c r="E28" s="86"/>
      <c r="F28" s="86"/>
      <c r="G28" s="86"/>
      <c r="H28" s="86"/>
      <c r="I28" s="86"/>
      <c r="J28" s="86"/>
      <c r="K28" s="16" t="s">
        <v>10</v>
      </c>
      <c r="N28" s="667" t="s">
        <v>819</v>
      </c>
      <c r="O28" s="667"/>
      <c r="P28" s="667"/>
      <c r="Q28" s="667"/>
    </row>
    <row r="29" spans="2:17" ht="12.75" customHeight="1">
      <c r="B29" s="86"/>
      <c r="C29" s="86"/>
      <c r="D29" s="86"/>
      <c r="E29" s="86"/>
      <c r="F29" s="86"/>
      <c r="G29" s="86"/>
      <c r="H29" s="86"/>
      <c r="I29" s="86"/>
      <c r="J29" s="86"/>
      <c r="N29" s="667" t="s">
        <v>488</v>
      </c>
      <c r="O29" s="667"/>
      <c r="P29" s="667"/>
      <c r="Q29" s="667"/>
    </row>
    <row r="30" spans="14:17" ht="12.75">
      <c r="N30" s="29" t="s">
        <v>80</v>
      </c>
      <c r="O30" s="29"/>
      <c r="P30" s="29"/>
      <c r="Q30" s="29"/>
    </row>
    <row r="31" spans="1:13" ht="12.75">
      <c r="A31" s="445"/>
      <c r="B31" s="445"/>
      <c r="C31" s="445"/>
      <c r="D31" s="445"/>
      <c r="E31" s="445"/>
      <c r="F31" s="445"/>
      <c r="G31" s="31"/>
      <c r="H31" s="445"/>
      <c r="I31" s="445"/>
      <c r="J31" s="445"/>
      <c r="K31" s="445"/>
      <c r="L31" s="31"/>
      <c r="M31" s="445"/>
    </row>
    <row r="32" spans="7:15" ht="12.75">
      <c r="G32" s="15"/>
      <c r="I32" s="322"/>
      <c r="J32" s="338"/>
      <c r="K32" s="322"/>
      <c r="L32" s="504"/>
      <c r="M32" s="504"/>
      <c r="N32" s="15"/>
      <c r="O32" s="322"/>
    </row>
    <row r="33" spans="7:15" ht="12.75">
      <c r="G33" s="15"/>
      <c r="I33" s="322"/>
      <c r="J33" s="338"/>
      <c r="K33" s="322"/>
      <c r="L33" s="504"/>
      <c r="M33" s="504"/>
      <c r="N33" s="15"/>
      <c r="O33" s="322"/>
    </row>
    <row r="34" spans="7:15" ht="12.75">
      <c r="G34" s="15"/>
      <c r="I34" s="322"/>
      <c r="J34" s="338"/>
      <c r="K34" s="322"/>
      <c r="L34" s="504"/>
      <c r="M34" s="504"/>
      <c r="N34" s="15"/>
      <c r="O34" s="322"/>
    </row>
    <row r="35" spans="7:15" ht="12.75">
      <c r="G35" s="15"/>
      <c r="L35" s="15"/>
      <c r="M35" s="504"/>
      <c r="N35" s="15"/>
      <c r="O35" s="322"/>
    </row>
    <row r="36" spans="8:11" ht="12.75">
      <c r="H36" s="481"/>
      <c r="I36" s="481"/>
      <c r="J36" s="322"/>
      <c r="K36" s="445"/>
    </row>
    <row r="37" spans="8:11" ht="12.75">
      <c r="H37" s="481"/>
      <c r="I37" s="481"/>
      <c r="J37" s="322"/>
      <c r="K37" s="445"/>
    </row>
    <row r="38" spans="8:11" ht="12.75">
      <c r="H38" s="322"/>
      <c r="I38" s="322"/>
      <c r="J38" s="322"/>
      <c r="K38" s="322"/>
    </row>
  </sheetData>
  <sheetProtection/>
  <mergeCells count="14">
    <mergeCell ref="N29:Q29"/>
    <mergeCell ref="O1:Q1"/>
    <mergeCell ref="M8:Q8"/>
    <mergeCell ref="A8:A9"/>
    <mergeCell ref="B8:B9"/>
    <mergeCell ref="A7:B7"/>
    <mergeCell ref="A2:Q2"/>
    <mergeCell ref="A3:Q3"/>
    <mergeCell ref="A5:Q5"/>
    <mergeCell ref="N7:R7"/>
    <mergeCell ref="C8:G8"/>
    <mergeCell ref="H8:L8"/>
    <mergeCell ref="N27:Q27"/>
    <mergeCell ref="N28:Q28"/>
  </mergeCells>
  <printOptions horizontalCentered="1"/>
  <pageMargins left="0.45" right="0.21" top="1.33" bottom="0" header="0.31496062992125984" footer="0.31496062992125984"/>
  <pageSetup fitToHeight="1"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dimension ref="A1:I26"/>
  <sheetViews>
    <sheetView zoomScalePageLayoutView="0" workbookViewId="0" topLeftCell="A1">
      <selection activeCell="G19" sqref="G19"/>
    </sheetView>
  </sheetViews>
  <sheetFormatPr defaultColWidth="9.140625" defaultRowHeight="12.75"/>
  <cols>
    <col min="1" max="1" width="5.7109375" style="0" customWidth="1"/>
    <col min="2" max="7" width="20.7109375" style="0" customWidth="1"/>
  </cols>
  <sheetData>
    <row r="1" ht="15">
      <c r="G1" s="181" t="s">
        <v>768</v>
      </c>
    </row>
    <row r="2" spans="1:7" ht="18">
      <c r="A2" s="739" t="s">
        <v>0</v>
      </c>
      <c r="B2" s="739"/>
      <c r="C2" s="739"/>
      <c r="D2" s="739"/>
      <c r="E2" s="739"/>
      <c r="F2" s="739"/>
      <c r="G2" s="739"/>
    </row>
    <row r="3" spans="1:7" ht="21">
      <c r="A3" s="740" t="s">
        <v>854</v>
      </c>
      <c r="B3" s="740"/>
      <c r="C3" s="740"/>
      <c r="D3" s="740"/>
      <c r="E3" s="740"/>
      <c r="F3" s="740"/>
      <c r="G3" s="740"/>
    </row>
    <row r="4" spans="1:2" ht="11.25" customHeight="1">
      <c r="A4" s="183"/>
      <c r="B4" s="183"/>
    </row>
    <row r="5" spans="1:7" ht="18" customHeight="1">
      <c r="A5" s="741" t="s">
        <v>769</v>
      </c>
      <c r="B5" s="741"/>
      <c r="C5" s="741"/>
      <c r="D5" s="741"/>
      <c r="E5" s="741"/>
      <c r="F5" s="741"/>
      <c r="G5" s="741"/>
    </row>
    <row r="6" spans="1:7" ht="9" customHeight="1">
      <c r="A6" s="516"/>
      <c r="B6" s="516"/>
      <c r="C6" s="516"/>
      <c r="D6" s="516"/>
      <c r="E6" s="516"/>
      <c r="F6" s="516"/>
      <c r="G6" s="516"/>
    </row>
    <row r="7" spans="1:2" ht="12.75">
      <c r="A7" s="699" t="s">
        <v>475</v>
      </c>
      <c r="B7" s="699"/>
    </row>
    <row r="8" spans="1:7" ht="15">
      <c r="A8" s="184"/>
      <c r="B8" s="184"/>
      <c r="F8" s="754" t="s">
        <v>936</v>
      </c>
      <c r="G8" s="754"/>
    </row>
    <row r="9" spans="1:7" ht="35.25" customHeight="1">
      <c r="A9" s="265" t="s">
        <v>70</v>
      </c>
      <c r="B9" s="521" t="s">
        <v>3</v>
      </c>
      <c r="C9" s="266" t="s">
        <v>770</v>
      </c>
      <c r="D9" s="266" t="s">
        <v>771</v>
      </c>
      <c r="E9" s="266" t="s">
        <v>772</v>
      </c>
      <c r="F9" s="266" t="s">
        <v>773</v>
      </c>
      <c r="G9" s="522" t="s">
        <v>774</v>
      </c>
    </row>
    <row r="10" spans="1:7" s="181" customFormat="1" ht="15">
      <c r="A10" s="185" t="s">
        <v>263</v>
      </c>
      <c r="B10" s="185" t="s">
        <v>264</v>
      </c>
      <c r="C10" s="185" t="s">
        <v>265</v>
      </c>
      <c r="D10" s="185" t="s">
        <v>266</v>
      </c>
      <c r="E10" s="185" t="s">
        <v>267</v>
      </c>
      <c r="F10" s="185" t="s">
        <v>268</v>
      </c>
      <c r="G10" s="185" t="s">
        <v>269</v>
      </c>
    </row>
    <row r="11" spans="1:7" ht="18.75" customHeight="1">
      <c r="A11" s="271">
        <v>1</v>
      </c>
      <c r="B11" s="276" t="s">
        <v>476</v>
      </c>
      <c r="C11" s="523">
        <f>'enrolment vs availed_PY'!G11+'enrolment vs availed_UPY'!G11</f>
        <v>84208</v>
      </c>
      <c r="D11" s="523">
        <v>77953</v>
      </c>
      <c r="E11" s="523">
        <f>C11-D11</f>
        <v>6255</v>
      </c>
      <c r="F11" s="523">
        <f>C11-D11-E11</f>
        <v>0</v>
      </c>
      <c r="G11" s="271" t="s">
        <v>512</v>
      </c>
    </row>
    <row r="12" spans="1:7" ht="18.75" customHeight="1">
      <c r="A12" s="271">
        <v>2</v>
      </c>
      <c r="B12" s="276" t="s">
        <v>477</v>
      </c>
      <c r="C12" s="523">
        <f>'enrolment vs availed_PY'!G12+'enrolment vs availed_UPY'!G12</f>
        <v>61005</v>
      </c>
      <c r="D12" s="523">
        <v>55672</v>
      </c>
      <c r="E12" s="523">
        <f aca="true" t="shared" si="0" ref="E12:E18">C12-D12</f>
        <v>5333</v>
      </c>
      <c r="F12" s="523">
        <f aca="true" t="shared" si="1" ref="F12:F18">C12-D12-E12</f>
        <v>0</v>
      </c>
      <c r="G12" s="271" t="s">
        <v>512</v>
      </c>
    </row>
    <row r="13" spans="1:7" ht="18.75" customHeight="1">
      <c r="A13" s="271">
        <v>3</v>
      </c>
      <c r="B13" s="276" t="s">
        <v>478</v>
      </c>
      <c r="C13" s="523">
        <f>'enrolment vs availed_PY'!G13+'enrolment vs availed_UPY'!G13</f>
        <v>36508</v>
      </c>
      <c r="D13" s="523">
        <v>34459</v>
      </c>
      <c r="E13" s="523">
        <f t="shared" si="0"/>
        <v>2049</v>
      </c>
      <c r="F13" s="523">
        <f t="shared" si="1"/>
        <v>0</v>
      </c>
      <c r="G13" s="271" t="s">
        <v>512</v>
      </c>
    </row>
    <row r="14" spans="1:7" ht="18.75" customHeight="1">
      <c r="A14" s="271">
        <v>4</v>
      </c>
      <c r="B14" s="276" t="s">
        <v>479</v>
      </c>
      <c r="C14" s="523">
        <f>'enrolment vs availed_PY'!G14+'enrolment vs availed_UPY'!G14</f>
        <v>51978</v>
      </c>
      <c r="D14" s="523">
        <v>51872</v>
      </c>
      <c r="E14" s="523">
        <f t="shared" si="0"/>
        <v>106</v>
      </c>
      <c r="F14" s="523">
        <f t="shared" si="1"/>
        <v>0</v>
      </c>
      <c r="G14" s="271" t="s">
        <v>512</v>
      </c>
    </row>
    <row r="15" spans="1:7" ht="18.75" customHeight="1">
      <c r="A15" s="271">
        <v>5</v>
      </c>
      <c r="B15" s="276" t="s">
        <v>480</v>
      </c>
      <c r="C15" s="523">
        <f>'enrolment vs availed_PY'!G15+'enrolment vs availed_UPY'!G15</f>
        <v>54657</v>
      </c>
      <c r="D15" s="523">
        <v>50264</v>
      </c>
      <c r="E15" s="523">
        <f t="shared" si="0"/>
        <v>4393</v>
      </c>
      <c r="F15" s="523">
        <f t="shared" si="1"/>
        <v>0</v>
      </c>
      <c r="G15" s="271" t="s">
        <v>512</v>
      </c>
    </row>
    <row r="16" spans="1:7" ht="18.75" customHeight="1">
      <c r="A16" s="271">
        <v>6</v>
      </c>
      <c r="B16" s="276" t="s">
        <v>481</v>
      </c>
      <c r="C16" s="523">
        <f>'enrolment vs availed_PY'!G16+'enrolment vs availed_UPY'!G16</f>
        <v>40502</v>
      </c>
      <c r="D16" s="523">
        <v>39935</v>
      </c>
      <c r="E16" s="523">
        <f t="shared" si="0"/>
        <v>567</v>
      </c>
      <c r="F16" s="523">
        <f t="shared" si="1"/>
        <v>0</v>
      </c>
      <c r="G16" s="271" t="s">
        <v>512</v>
      </c>
    </row>
    <row r="17" spans="1:7" ht="18.75" customHeight="1">
      <c r="A17" s="271">
        <v>7</v>
      </c>
      <c r="B17" s="276" t="s">
        <v>482</v>
      </c>
      <c r="C17" s="523">
        <f>'enrolment vs availed_PY'!G17+'enrolment vs availed_UPY'!G17</f>
        <v>60198</v>
      </c>
      <c r="D17" s="523">
        <v>54756</v>
      </c>
      <c r="E17" s="523">
        <f t="shared" si="0"/>
        <v>5442</v>
      </c>
      <c r="F17" s="523">
        <f t="shared" si="1"/>
        <v>0</v>
      </c>
      <c r="G17" s="271" t="s">
        <v>512</v>
      </c>
    </row>
    <row r="18" spans="1:7" ht="18.75" customHeight="1">
      <c r="A18" s="271">
        <v>8</v>
      </c>
      <c r="B18" s="276" t="s">
        <v>483</v>
      </c>
      <c r="C18" s="523">
        <f>'enrolment vs availed_PY'!G18+'enrolment vs availed_UPY'!G18</f>
        <v>57170</v>
      </c>
      <c r="D18" s="523">
        <v>56649</v>
      </c>
      <c r="E18" s="523">
        <f t="shared" si="0"/>
        <v>521</v>
      </c>
      <c r="F18" s="523">
        <f t="shared" si="1"/>
        <v>0</v>
      </c>
      <c r="G18" s="271" t="s">
        <v>512</v>
      </c>
    </row>
    <row r="19" spans="1:7" ht="18.75" customHeight="1">
      <c r="A19" s="158"/>
      <c r="B19" s="275" t="s">
        <v>484</v>
      </c>
      <c r="C19" s="524">
        <f>SUM(C11:C18)</f>
        <v>446226</v>
      </c>
      <c r="D19" s="524">
        <f>SUM(D11:D18)</f>
        <v>421560</v>
      </c>
      <c r="E19" s="524">
        <f>SUM(E11:E18)</f>
        <v>24666</v>
      </c>
      <c r="F19" s="524">
        <f>SUM(F11:F18)</f>
        <v>0</v>
      </c>
      <c r="G19" s="529" t="s">
        <v>512</v>
      </c>
    </row>
    <row r="20" ht="12.75">
      <c r="D20" s="16" t="s">
        <v>10</v>
      </c>
    </row>
    <row r="23" spans="1:9" ht="15" customHeight="1">
      <c r="A23" s="519"/>
      <c r="B23" s="519"/>
      <c r="C23" s="519"/>
      <c r="D23" s="519"/>
      <c r="E23" s="667"/>
      <c r="F23" s="667"/>
      <c r="G23" s="667"/>
      <c r="H23" s="667"/>
      <c r="I23" s="520"/>
    </row>
    <row r="24" spans="1:9" ht="15" customHeight="1">
      <c r="A24" s="519"/>
      <c r="B24" s="519"/>
      <c r="C24" s="519"/>
      <c r="D24" s="519"/>
      <c r="E24" s="667" t="s">
        <v>819</v>
      </c>
      <c r="F24" s="667"/>
      <c r="G24" s="667"/>
      <c r="H24" s="667"/>
      <c r="I24" s="520"/>
    </row>
    <row r="25" spans="1:9" ht="15" customHeight="1">
      <c r="A25" s="519"/>
      <c r="B25" s="519"/>
      <c r="C25" s="519"/>
      <c r="D25" s="519"/>
      <c r="E25" s="667" t="s">
        <v>488</v>
      </c>
      <c r="F25" s="667"/>
      <c r="G25" s="667"/>
      <c r="H25" s="667"/>
      <c r="I25" s="520"/>
    </row>
    <row r="26" spans="1:9" ht="12.75">
      <c r="A26" s="519" t="s">
        <v>11</v>
      </c>
      <c r="C26" s="519"/>
      <c r="D26" s="519"/>
      <c r="F26" s="29" t="s">
        <v>80</v>
      </c>
      <c r="G26" s="29"/>
      <c r="H26" s="29"/>
      <c r="I26" s="519"/>
    </row>
  </sheetData>
  <sheetProtection/>
  <mergeCells count="8">
    <mergeCell ref="E25:H25"/>
    <mergeCell ref="A2:G2"/>
    <mergeCell ref="A3:G3"/>
    <mergeCell ref="A5:G5"/>
    <mergeCell ref="A7:B7"/>
    <mergeCell ref="E23:H23"/>
    <mergeCell ref="E24:H24"/>
    <mergeCell ref="F8:G8"/>
  </mergeCells>
  <printOptions/>
  <pageMargins left="0.79" right="0.54"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R34"/>
  <sheetViews>
    <sheetView view="pageBreakPreview" zoomScaleSheetLayoutView="100" zoomScalePageLayoutView="0" workbookViewId="0" topLeftCell="A4">
      <selection activeCell="I20" sqref="I20"/>
    </sheetView>
  </sheetViews>
  <sheetFormatPr defaultColWidth="9.140625" defaultRowHeight="12.75"/>
  <cols>
    <col min="1" max="1" width="5.28125" style="16" customWidth="1"/>
    <col min="2" max="2" width="12.8515625" style="16" customWidth="1"/>
    <col min="3" max="3" width="11.00390625" style="16" customWidth="1"/>
    <col min="4" max="4" width="10.00390625" style="16" customWidth="1"/>
    <col min="5" max="5" width="14.28125" style="16" customWidth="1"/>
    <col min="6" max="6" width="15.00390625" style="16" customWidth="1"/>
    <col min="7" max="7" width="13.28125" style="16" customWidth="1"/>
    <col min="8" max="8" width="14.7109375" style="16" customWidth="1"/>
    <col min="9" max="9" width="16.7109375" style="16" customWidth="1"/>
    <col min="10" max="10" width="19.28125" style="16" customWidth="1"/>
    <col min="11" max="11" width="9.140625" style="16" customWidth="1"/>
    <col min="12" max="12" width="10.8515625" style="16" bestFit="1" customWidth="1"/>
    <col min="13" max="16384" width="9.140625" style="16" customWidth="1"/>
  </cols>
  <sheetData>
    <row r="1" spans="5:10" ht="12.75">
      <c r="E1" s="697"/>
      <c r="F1" s="697"/>
      <c r="G1" s="697"/>
      <c r="H1" s="697"/>
      <c r="I1" s="697"/>
      <c r="J1" s="49" t="s">
        <v>58</v>
      </c>
    </row>
    <row r="2" spans="1:10" ht="15">
      <c r="A2" s="751" t="s">
        <v>0</v>
      </c>
      <c r="B2" s="751"/>
      <c r="C2" s="751"/>
      <c r="D2" s="751"/>
      <c r="E2" s="751"/>
      <c r="F2" s="751"/>
      <c r="G2" s="751"/>
      <c r="H2" s="751"/>
      <c r="I2" s="751"/>
      <c r="J2" s="751"/>
    </row>
    <row r="3" spans="1:10" ht="20.25">
      <c r="A3" s="645" t="s">
        <v>854</v>
      </c>
      <c r="B3" s="645"/>
      <c r="C3" s="645"/>
      <c r="D3" s="645"/>
      <c r="E3" s="645"/>
      <c r="F3" s="645"/>
      <c r="G3" s="645"/>
      <c r="H3" s="645"/>
      <c r="I3" s="645"/>
      <c r="J3" s="645"/>
    </row>
    <row r="4" ht="14.25" customHeight="1"/>
    <row r="5" spans="1:10" ht="31.5" customHeight="1">
      <c r="A5" s="752" t="s">
        <v>904</v>
      </c>
      <c r="B5" s="752"/>
      <c r="C5" s="752"/>
      <c r="D5" s="752"/>
      <c r="E5" s="752"/>
      <c r="F5" s="752"/>
      <c r="G5" s="752"/>
      <c r="H5" s="752"/>
      <c r="I5" s="752"/>
      <c r="J5" s="752"/>
    </row>
    <row r="6" spans="1:10" ht="13.5" customHeight="1">
      <c r="A6" s="1"/>
      <c r="B6" s="1"/>
      <c r="C6" s="1"/>
      <c r="D6" s="1"/>
      <c r="E6" s="1"/>
      <c r="F6" s="1"/>
      <c r="G6" s="1"/>
      <c r="H6" s="1"/>
      <c r="I6" s="1"/>
      <c r="J6" s="1"/>
    </row>
    <row r="7" ht="0.75" customHeight="1"/>
    <row r="8" spans="1:12" ht="12.75">
      <c r="A8" s="699" t="s">
        <v>475</v>
      </c>
      <c r="B8" s="699"/>
      <c r="C8" s="29"/>
      <c r="H8" s="742" t="s">
        <v>934</v>
      </c>
      <c r="I8" s="742"/>
      <c r="J8" s="742"/>
      <c r="K8" s="103"/>
      <c r="L8" s="103"/>
    </row>
    <row r="9" spans="1:18" s="273" customFormat="1" ht="15.75" customHeight="1">
      <c r="A9" s="653" t="s">
        <v>490</v>
      </c>
      <c r="B9" s="653" t="s">
        <v>3</v>
      </c>
      <c r="C9" s="708" t="s">
        <v>905</v>
      </c>
      <c r="D9" s="709"/>
      <c r="E9" s="709"/>
      <c r="F9" s="710"/>
      <c r="G9" s="708" t="s">
        <v>99</v>
      </c>
      <c r="H9" s="709"/>
      <c r="I9" s="709"/>
      <c r="J9" s="710"/>
      <c r="Q9" s="276"/>
      <c r="R9" s="277"/>
    </row>
    <row r="10" spans="1:10" s="273" customFormat="1" ht="53.25" customHeight="1">
      <c r="A10" s="653"/>
      <c r="B10" s="653"/>
      <c r="C10" s="257" t="s">
        <v>182</v>
      </c>
      <c r="D10" s="257" t="s">
        <v>13</v>
      </c>
      <c r="E10" s="253" t="s">
        <v>935</v>
      </c>
      <c r="F10" s="253" t="s">
        <v>199</v>
      </c>
      <c r="G10" s="257" t="s">
        <v>182</v>
      </c>
      <c r="H10" s="278" t="s">
        <v>14</v>
      </c>
      <c r="I10" s="279" t="s">
        <v>106</v>
      </c>
      <c r="J10" s="257" t="s">
        <v>997</v>
      </c>
    </row>
    <row r="11" spans="1:12" ht="12.75">
      <c r="A11" s="5">
        <v>1</v>
      </c>
      <c r="B11" s="5">
        <v>2</v>
      </c>
      <c r="C11" s="5">
        <v>3</v>
      </c>
      <c r="D11" s="5">
        <v>4</v>
      </c>
      <c r="E11" s="5">
        <v>5</v>
      </c>
      <c r="F11" s="7">
        <v>6</v>
      </c>
      <c r="G11" s="5">
        <v>7</v>
      </c>
      <c r="H11" s="104">
        <v>8</v>
      </c>
      <c r="I11" s="5">
        <v>9</v>
      </c>
      <c r="J11" s="5">
        <v>10</v>
      </c>
      <c r="L11" s="21"/>
    </row>
    <row r="12" spans="1:12" ht="12.75">
      <c r="A12" s="8">
        <v>1</v>
      </c>
      <c r="B12" s="19" t="s">
        <v>476</v>
      </c>
      <c r="C12" s="19">
        <f>G12</f>
        <v>599</v>
      </c>
      <c r="D12" s="19">
        <v>42772</v>
      </c>
      <c r="E12" s="19">
        <v>230</v>
      </c>
      <c r="F12" s="106">
        <f>D12*E12</f>
        <v>9837560</v>
      </c>
      <c r="G12" s="19">
        <f>'AT-3'!C9</f>
        <v>599</v>
      </c>
      <c r="H12" s="324">
        <f>'enrolment vs availed_PY'!Q11</f>
        <v>8678174</v>
      </c>
      <c r="I12" s="19">
        <v>226</v>
      </c>
      <c r="J12" s="324">
        <f>H12/I12</f>
        <v>38399</v>
      </c>
      <c r="L12" s="500"/>
    </row>
    <row r="13" spans="1:12" ht="12.75">
      <c r="A13" s="8">
        <v>2</v>
      </c>
      <c r="B13" s="19" t="s">
        <v>477</v>
      </c>
      <c r="C13" s="19">
        <f aca="true" t="shared" si="0" ref="C13:C19">G13</f>
        <v>587</v>
      </c>
      <c r="D13" s="19">
        <v>32202</v>
      </c>
      <c r="E13" s="19">
        <v>230</v>
      </c>
      <c r="F13" s="106">
        <f aca="true" t="shared" si="1" ref="F13:F19">D13*E13</f>
        <v>7406460</v>
      </c>
      <c r="G13" s="19">
        <f>'AT-3'!C10</f>
        <v>587</v>
      </c>
      <c r="H13" s="324">
        <f>'enrolment vs availed_PY'!Q12</f>
        <v>6387212</v>
      </c>
      <c r="I13" s="19">
        <v>226</v>
      </c>
      <c r="J13" s="324">
        <f>H13/I13</f>
        <v>28262</v>
      </c>
      <c r="L13" s="500"/>
    </row>
    <row r="14" spans="1:12" ht="12.75">
      <c r="A14" s="8">
        <v>3</v>
      </c>
      <c r="B14" s="19" t="s">
        <v>478</v>
      </c>
      <c r="C14" s="19">
        <f t="shared" si="0"/>
        <v>456</v>
      </c>
      <c r="D14" s="19">
        <v>18668</v>
      </c>
      <c r="E14" s="19">
        <v>230</v>
      </c>
      <c r="F14" s="106">
        <f t="shared" si="1"/>
        <v>4293640</v>
      </c>
      <c r="G14" s="19">
        <f>'AT-3'!C11</f>
        <v>456</v>
      </c>
      <c r="H14" s="324">
        <f>'enrolment vs availed_PY'!Q13</f>
        <v>3739848</v>
      </c>
      <c r="I14" s="19">
        <v>226</v>
      </c>
      <c r="J14" s="324">
        <f aca="true" t="shared" si="2" ref="J14:J19">H14/I14</f>
        <v>16548</v>
      </c>
      <c r="L14" s="500"/>
    </row>
    <row r="15" spans="1:12" ht="12.75">
      <c r="A15" s="8">
        <v>4</v>
      </c>
      <c r="B15" s="19" t="s">
        <v>479</v>
      </c>
      <c r="C15" s="19">
        <f t="shared" si="0"/>
        <v>528</v>
      </c>
      <c r="D15" s="19">
        <v>26427</v>
      </c>
      <c r="E15" s="19">
        <v>230</v>
      </c>
      <c r="F15" s="106">
        <f t="shared" si="1"/>
        <v>6078210</v>
      </c>
      <c r="G15" s="19">
        <f>'AT-3'!C12</f>
        <v>528</v>
      </c>
      <c r="H15" s="324">
        <f>'enrolment vs availed_PY'!Q14</f>
        <v>5380834</v>
      </c>
      <c r="I15" s="19">
        <v>226</v>
      </c>
      <c r="J15" s="324">
        <f t="shared" si="2"/>
        <v>23809</v>
      </c>
      <c r="L15" s="500"/>
    </row>
    <row r="16" spans="1:12" ht="12.75">
      <c r="A16" s="8">
        <v>5</v>
      </c>
      <c r="B16" s="19" t="s">
        <v>480</v>
      </c>
      <c r="C16" s="19">
        <f t="shared" si="0"/>
        <v>617</v>
      </c>
      <c r="D16" s="19">
        <v>27429</v>
      </c>
      <c r="E16" s="19">
        <v>230</v>
      </c>
      <c r="F16" s="106">
        <f t="shared" si="1"/>
        <v>6308670</v>
      </c>
      <c r="G16" s="19">
        <f>'AT-3'!C13</f>
        <v>617</v>
      </c>
      <c r="H16" s="324">
        <f>'enrolment vs availed_PY'!Q15</f>
        <v>5499710</v>
      </c>
      <c r="I16" s="19">
        <v>226</v>
      </c>
      <c r="J16" s="324">
        <f t="shared" si="2"/>
        <v>24335</v>
      </c>
      <c r="L16" s="500"/>
    </row>
    <row r="17" spans="1:12" ht="12.75">
      <c r="A17" s="8">
        <v>6</v>
      </c>
      <c r="B17" s="19" t="s">
        <v>481</v>
      </c>
      <c r="C17" s="19">
        <f t="shared" si="0"/>
        <v>327</v>
      </c>
      <c r="D17" s="19">
        <v>21462</v>
      </c>
      <c r="E17" s="19">
        <v>230</v>
      </c>
      <c r="F17" s="106">
        <f t="shared" si="1"/>
        <v>4936260</v>
      </c>
      <c r="G17" s="19">
        <f>'AT-3'!C14</f>
        <v>327</v>
      </c>
      <c r="H17" s="324">
        <f>'enrolment vs availed_PY'!Q16</f>
        <v>4324962</v>
      </c>
      <c r="I17" s="19">
        <v>226</v>
      </c>
      <c r="J17" s="324">
        <f t="shared" si="2"/>
        <v>19137</v>
      </c>
      <c r="L17" s="500"/>
    </row>
    <row r="18" spans="1:12" ht="12.75">
      <c r="A18" s="8">
        <v>7</v>
      </c>
      <c r="B18" s="19" t="s">
        <v>482</v>
      </c>
      <c r="C18" s="19">
        <f t="shared" si="0"/>
        <v>476</v>
      </c>
      <c r="D18" s="19">
        <v>33433</v>
      </c>
      <c r="E18" s="19">
        <v>230</v>
      </c>
      <c r="F18" s="106">
        <f t="shared" si="1"/>
        <v>7689590</v>
      </c>
      <c r="G18" s="19">
        <f>'AT-3'!C15</f>
        <v>476</v>
      </c>
      <c r="H18" s="324">
        <f>'enrolment vs availed_PY'!Q17</f>
        <v>6755592</v>
      </c>
      <c r="I18" s="19">
        <v>226</v>
      </c>
      <c r="J18" s="324">
        <f t="shared" si="2"/>
        <v>29892</v>
      </c>
      <c r="L18" s="500"/>
    </row>
    <row r="19" spans="1:12" ht="12.75">
      <c r="A19" s="8">
        <v>8</v>
      </c>
      <c r="B19" s="19" t="s">
        <v>483</v>
      </c>
      <c r="C19" s="19">
        <f t="shared" si="0"/>
        <v>812</v>
      </c>
      <c r="D19" s="19">
        <v>31332</v>
      </c>
      <c r="E19" s="19">
        <v>230</v>
      </c>
      <c r="F19" s="106">
        <f t="shared" si="1"/>
        <v>7206360</v>
      </c>
      <c r="G19" s="19">
        <f>'AT-3'!C16</f>
        <v>812</v>
      </c>
      <c r="H19" s="324">
        <f>'enrolment vs availed_PY'!Q18</f>
        <v>6277150</v>
      </c>
      <c r="I19" s="19">
        <v>226</v>
      </c>
      <c r="J19" s="324">
        <f t="shared" si="2"/>
        <v>27775</v>
      </c>
      <c r="L19" s="500"/>
    </row>
    <row r="20" spans="1:12" ht="12.75">
      <c r="A20" s="3"/>
      <c r="B20" s="27" t="s">
        <v>484</v>
      </c>
      <c r="C20" s="19">
        <f>SUM(C12:C19)</f>
        <v>4402</v>
      </c>
      <c r="D20" s="19">
        <f aca="true" t="shared" si="3" ref="D20:J20">SUM(D12:D19)</f>
        <v>233725</v>
      </c>
      <c r="E20" s="19"/>
      <c r="F20" s="19">
        <f t="shared" si="3"/>
        <v>53756750</v>
      </c>
      <c r="G20" s="19">
        <f t="shared" si="3"/>
        <v>4402</v>
      </c>
      <c r="H20" s="19">
        <f t="shared" si="3"/>
        <v>47043482</v>
      </c>
      <c r="I20" s="19"/>
      <c r="J20" s="325">
        <f t="shared" si="3"/>
        <v>208157</v>
      </c>
      <c r="L20" s="501"/>
    </row>
    <row r="21" spans="1:12" ht="12.75">
      <c r="A21" s="12"/>
      <c r="B21" s="28"/>
      <c r="C21" s="28"/>
      <c r="D21" s="21"/>
      <c r="E21" s="21"/>
      <c r="F21" s="21"/>
      <c r="G21" s="21"/>
      <c r="H21" s="21"/>
      <c r="I21" s="21"/>
      <c r="J21" s="21"/>
      <c r="L21" s="21"/>
    </row>
    <row r="22" spans="1:10" ht="12.75">
      <c r="A22" s="230" t="s">
        <v>996</v>
      </c>
      <c r="B22" s="230"/>
      <c r="C22" s="230"/>
      <c r="D22" s="230"/>
      <c r="E22" s="230"/>
      <c r="F22" s="230"/>
      <c r="G22" s="230"/>
      <c r="H22" s="24"/>
      <c r="I22" s="24" t="s">
        <v>10</v>
      </c>
      <c r="J22" s="21"/>
    </row>
    <row r="23" spans="1:10" ht="12.75">
      <c r="A23" s="12"/>
      <c r="B23" s="648"/>
      <c r="C23" s="648"/>
      <c r="D23" s="648"/>
      <c r="E23" s="648"/>
      <c r="F23" s="648"/>
      <c r="G23" s="648"/>
      <c r="H23" s="21"/>
      <c r="I23" s="21"/>
      <c r="J23" s="21"/>
    </row>
    <row r="24" spans="1:10" ht="15.75" customHeight="1">
      <c r="A24" s="15" t="s">
        <v>11</v>
      </c>
      <c r="B24" s="15"/>
      <c r="C24" s="15"/>
      <c r="D24" s="15"/>
      <c r="E24" s="15"/>
      <c r="F24" s="15"/>
      <c r="G24" s="15"/>
      <c r="I24" s="756"/>
      <c r="J24" s="756"/>
    </row>
    <row r="25" spans="2:10" ht="12.75" customHeight="1">
      <c r="B25" s="86"/>
      <c r="C25" s="86"/>
      <c r="D25" s="86"/>
      <c r="E25" s="86"/>
      <c r="F25" s="86"/>
      <c r="G25" s="86"/>
      <c r="H25" s="86"/>
      <c r="I25" s="755" t="s">
        <v>819</v>
      </c>
      <c r="J25" s="755"/>
    </row>
    <row r="26" spans="1:10" ht="12.75" customHeight="1">
      <c r="A26" s="413"/>
      <c r="B26" s="86"/>
      <c r="C26" s="86"/>
      <c r="D26" s="86"/>
      <c r="E26" s="86"/>
      <c r="F26" s="86"/>
      <c r="G26" s="86"/>
      <c r="H26" s="86"/>
      <c r="I26" s="756" t="s">
        <v>488</v>
      </c>
      <c r="J26" s="756"/>
    </row>
    <row r="27" spans="1:10" ht="12.75">
      <c r="A27" s="15"/>
      <c r="B27" s="15"/>
      <c r="C27" s="15"/>
      <c r="D27" s="322"/>
      <c r="E27" s="15"/>
      <c r="I27" s="445" t="s">
        <v>80</v>
      </c>
      <c r="J27" s="445"/>
    </row>
    <row r="28" spans="1:4" ht="12.75">
      <c r="A28" s="413"/>
      <c r="D28" s="322"/>
    </row>
    <row r="29" spans="2:4" ht="12.75">
      <c r="B29" s="428"/>
      <c r="D29" s="322"/>
    </row>
    <row r="30" ht="12.75">
      <c r="D30" s="322"/>
    </row>
    <row r="31" spans="1:10" ht="12.75">
      <c r="A31" s="445"/>
      <c r="B31" s="445"/>
      <c r="C31" s="445"/>
      <c r="D31" s="481"/>
      <c r="E31" s="445"/>
      <c r="F31" s="445"/>
      <c r="G31" s="445"/>
      <c r="H31" s="445"/>
      <c r="I31" s="445"/>
      <c r="J31" s="445"/>
    </row>
    <row r="32" ht="12.75">
      <c r="D32" s="322"/>
    </row>
    <row r="33" spans="1:10" ht="12.75">
      <c r="A33" s="445"/>
      <c r="B33" s="445"/>
      <c r="C33" s="445"/>
      <c r="D33" s="481"/>
      <c r="E33" s="445"/>
      <c r="F33" s="445"/>
      <c r="G33" s="445"/>
      <c r="H33" s="445"/>
      <c r="I33" s="445"/>
      <c r="J33" s="445"/>
    </row>
    <row r="34" ht="12.75">
      <c r="D34" s="322"/>
    </row>
  </sheetData>
  <sheetProtection/>
  <mergeCells count="14">
    <mergeCell ref="I25:J25"/>
    <mergeCell ref="I26:J26"/>
    <mergeCell ref="I24:J24"/>
    <mergeCell ref="B23:G23"/>
    <mergeCell ref="E1:I1"/>
    <mergeCell ref="A2:J2"/>
    <mergeCell ref="A3:J3"/>
    <mergeCell ref="G9:J9"/>
    <mergeCell ref="C9:F9"/>
    <mergeCell ref="H8:J8"/>
    <mergeCell ref="A5:J5"/>
    <mergeCell ref="A9:A10"/>
    <mergeCell ref="B9:B10"/>
    <mergeCell ref="A8:B8"/>
  </mergeCells>
  <printOptions horizontalCentered="1"/>
  <pageMargins left="0.52" right="0.31" top="1.19" bottom="0" header="0.81"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4">
      <selection activeCell="I20" sqref="I20"/>
    </sheetView>
  </sheetViews>
  <sheetFormatPr defaultColWidth="9.140625" defaultRowHeight="12.75"/>
  <cols>
    <col min="1" max="1" width="4.421875" style="16" customWidth="1"/>
    <col min="2" max="2" width="13.57421875" style="16" customWidth="1"/>
    <col min="3" max="3" width="11.00390625" style="16" customWidth="1"/>
    <col min="4" max="4" width="10.00390625" style="16" customWidth="1"/>
    <col min="5" max="5" width="14.140625" style="16" customWidth="1"/>
    <col min="6" max="6" width="14.8515625" style="16" customWidth="1"/>
    <col min="7" max="7" width="13.28125" style="16" customWidth="1"/>
    <col min="8" max="8" width="14.7109375" style="16" customWidth="1"/>
    <col min="9" max="9" width="14.8515625" style="16" customWidth="1"/>
    <col min="10" max="10" width="19.28125" style="16" customWidth="1"/>
    <col min="11" max="16384" width="9.140625" style="16" customWidth="1"/>
  </cols>
  <sheetData>
    <row r="1" spans="5:10" ht="12.75">
      <c r="E1" s="697"/>
      <c r="F1" s="697"/>
      <c r="G1" s="697"/>
      <c r="H1" s="697"/>
      <c r="I1" s="697"/>
      <c r="J1" s="49" t="s">
        <v>360</v>
      </c>
    </row>
    <row r="2" spans="1:10" ht="15">
      <c r="A2" s="751" t="s">
        <v>0</v>
      </c>
      <c r="B2" s="751"/>
      <c r="C2" s="751"/>
      <c r="D2" s="751"/>
      <c r="E2" s="751"/>
      <c r="F2" s="751"/>
      <c r="G2" s="751"/>
      <c r="H2" s="751"/>
      <c r="I2" s="751"/>
      <c r="J2" s="751"/>
    </row>
    <row r="3" spans="1:10" ht="20.25">
      <c r="A3" s="645" t="s">
        <v>854</v>
      </c>
      <c r="B3" s="645"/>
      <c r="C3" s="645"/>
      <c r="D3" s="645"/>
      <c r="E3" s="645"/>
      <c r="F3" s="645"/>
      <c r="G3" s="645"/>
      <c r="H3" s="645"/>
      <c r="I3" s="645"/>
      <c r="J3" s="645"/>
    </row>
    <row r="4" ht="14.25" customHeight="1"/>
    <row r="5" spans="1:10" ht="31.5" customHeight="1">
      <c r="A5" s="752" t="s">
        <v>906</v>
      </c>
      <c r="B5" s="752"/>
      <c r="C5" s="752"/>
      <c r="D5" s="752"/>
      <c r="E5" s="752"/>
      <c r="F5" s="752"/>
      <c r="G5" s="752"/>
      <c r="H5" s="752"/>
      <c r="I5" s="752"/>
      <c r="J5" s="752"/>
    </row>
    <row r="6" spans="1:10" ht="13.5" customHeight="1">
      <c r="A6" s="1"/>
      <c r="B6" s="1"/>
      <c r="C6" s="1"/>
      <c r="D6" s="1"/>
      <c r="E6" s="1"/>
      <c r="F6" s="1"/>
      <c r="G6" s="1"/>
      <c r="H6" s="1"/>
      <c r="I6" s="1"/>
      <c r="J6" s="1"/>
    </row>
    <row r="7" ht="0.75" customHeight="1"/>
    <row r="8" spans="1:10" ht="12.75">
      <c r="A8" s="699" t="s">
        <v>475</v>
      </c>
      <c r="B8" s="699"/>
      <c r="C8" s="29"/>
      <c r="H8" s="742" t="s">
        <v>934</v>
      </c>
      <c r="I8" s="742"/>
      <c r="J8" s="742"/>
    </row>
    <row r="9" spans="1:16" s="280" customFormat="1" ht="15.75" customHeight="1">
      <c r="A9" s="653" t="s">
        <v>491</v>
      </c>
      <c r="B9" s="653" t="s">
        <v>3</v>
      </c>
      <c r="C9" s="708" t="s">
        <v>905</v>
      </c>
      <c r="D9" s="709"/>
      <c r="E9" s="709"/>
      <c r="F9" s="710"/>
      <c r="G9" s="708" t="s">
        <v>99</v>
      </c>
      <c r="H9" s="709"/>
      <c r="I9" s="709"/>
      <c r="J9" s="710"/>
      <c r="O9" s="281"/>
      <c r="P9" s="281"/>
    </row>
    <row r="10" spans="1:12" s="280" customFormat="1" ht="53.25" customHeight="1">
      <c r="A10" s="653"/>
      <c r="B10" s="653"/>
      <c r="C10" s="257" t="s">
        <v>182</v>
      </c>
      <c r="D10" s="257" t="s">
        <v>13</v>
      </c>
      <c r="E10" s="253" t="s">
        <v>935</v>
      </c>
      <c r="F10" s="253" t="s">
        <v>199</v>
      </c>
      <c r="G10" s="257" t="s">
        <v>182</v>
      </c>
      <c r="H10" s="278" t="s">
        <v>14</v>
      </c>
      <c r="I10" s="279" t="s">
        <v>106</v>
      </c>
      <c r="J10" s="257" t="s">
        <v>997</v>
      </c>
      <c r="L10" s="281"/>
    </row>
    <row r="11" spans="1:12" ht="12.75">
      <c r="A11" s="5">
        <v>1</v>
      </c>
      <c r="B11" s="5">
        <v>2</v>
      </c>
      <c r="C11" s="5">
        <v>3</v>
      </c>
      <c r="D11" s="5">
        <v>4</v>
      </c>
      <c r="E11" s="5">
        <v>5</v>
      </c>
      <c r="F11" s="7">
        <v>6</v>
      </c>
      <c r="G11" s="5">
        <v>7</v>
      </c>
      <c r="H11" s="104">
        <v>8</v>
      </c>
      <c r="I11" s="5">
        <v>9</v>
      </c>
      <c r="J11" s="5">
        <v>10</v>
      </c>
      <c r="L11" s="21"/>
    </row>
    <row r="12" spans="1:12" ht="12.75">
      <c r="A12" s="8">
        <v>1</v>
      </c>
      <c r="B12" s="19" t="s">
        <v>476</v>
      </c>
      <c r="C12" s="19">
        <f>G12</f>
        <v>318</v>
      </c>
      <c r="D12" s="19">
        <v>25866</v>
      </c>
      <c r="E12" s="19">
        <v>230</v>
      </c>
      <c r="F12" s="106">
        <f>D12*E12</f>
        <v>5949180</v>
      </c>
      <c r="G12" s="19">
        <f>'AT-3'!D9+'AT-3'!E9</f>
        <v>318</v>
      </c>
      <c r="H12" s="324">
        <f>'enrolment vs availed_UPY'!Q11</f>
        <v>5429475</v>
      </c>
      <c r="I12" s="19">
        <v>225</v>
      </c>
      <c r="J12" s="324">
        <f>H12/I12</f>
        <v>24131</v>
      </c>
      <c r="L12" s="500"/>
    </row>
    <row r="13" spans="1:12" ht="12.75">
      <c r="A13" s="8">
        <v>2</v>
      </c>
      <c r="B13" s="19" t="s">
        <v>477</v>
      </c>
      <c r="C13" s="19">
        <f aca="true" t="shared" si="0" ref="C13:C19">G13</f>
        <v>288</v>
      </c>
      <c r="D13" s="19">
        <v>18493</v>
      </c>
      <c r="E13" s="19">
        <v>230</v>
      </c>
      <c r="F13" s="106">
        <f aca="true" t="shared" si="1" ref="F13:F19">D13*E13</f>
        <v>4253390</v>
      </c>
      <c r="G13" s="19">
        <f>'AT-3'!D10+'AT-3'!E10</f>
        <v>288</v>
      </c>
      <c r="H13" s="324">
        <f>'enrolment vs availed_UPY'!Q12</f>
        <v>3840300</v>
      </c>
      <c r="I13" s="19">
        <v>225</v>
      </c>
      <c r="J13" s="324">
        <f aca="true" t="shared" si="2" ref="J13:J19">H13/I13</f>
        <v>17068</v>
      </c>
      <c r="L13" s="500"/>
    </row>
    <row r="14" spans="1:12" ht="12.75">
      <c r="A14" s="8">
        <v>3</v>
      </c>
      <c r="B14" s="19" t="s">
        <v>478</v>
      </c>
      <c r="C14" s="19">
        <f t="shared" si="0"/>
        <v>212</v>
      </c>
      <c r="D14" s="19">
        <v>11215</v>
      </c>
      <c r="E14" s="19">
        <v>230</v>
      </c>
      <c r="F14" s="106">
        <f t="shared" si="1"/>
        <v>2579450</v>
      </c>
      <c r="G14" s="19">
        <f>'AT-3'!D11+'AT-3'!E11</f>
        <v>212</v>
      </c>
      <c r="H14" s="324">
        <f>'enrolment vs availed_UPY'!Q13</f>
        <v>2374650</v>
      </c>
      <c r="I14" s="19">
        <v>225</v>
      </c>
      <c r="J14" s="324">
        <f t="shared" si="2"/>
        <v>10554</v>
      </c>
      <c r="L14" s="500"/>
    </row>
    <row r="15" spans="1:12" ht="12.75">
      <c r="A15" s="8">
        <v>4</v>
      </c>
      <c r="B15" s="19" t="s">
        <v>479</v>
      </c>
      <c r="C15" s="19">
        <f t="shared" si="0"/>
        <v>282</v>
      </c>
      <c r="D15" s="19">
        <v>16290</v>
      </c>
      <c r="E15" s="19">
        <v>230</v>
      </c>
      <c r="F15" s="106">
        <f t="shared" si="1"/>
        <v>3746700</v>
      </c>
      <c r="G15" s="19">
        <f>'AT-3'!D12+'AT-3'!E12</f>
        <v>282</v>
      </c>
      <c r="H15" s="324">
        <f>'enrolment vs availed_UPY'!Q14</f>
        <v>3329775</v>
      </c>
      <c r="I15" s="19">
        <v>225</v>
      </c>
      <c r="J15" s="324">
        <f t="shared" si="2"/>
        <v>14799</v>
      </c>
      <c r="L15" s="500"/>
    </row>
    <row r="16" spans="1:12" ht="12.75">
      <c r="A16" s="8">
        <v>5</v>
      </c>
      <c r="B16" s="19" t="s">
        <v>480</v>
      </c>
      <c r="C16" s="19">
        <f t="shared" si="0"/>
        <v>308</v>
      </c>
      <c r="D16" s="19">
        <v>17789</v>
      </c>
      <c r="E16" s="19">
        <v>230</v>
      </c>
      <c r="F16" s="106">
        <f t="shared" si="1"/>
        <v>4091470</v>
      </c>
      <c r="G16" s="19">
        <f>'AT-3'!D13+'AT-3'!E13</f>
        <v>308</v>
      </c>
      <c r="H16" s="324">
        <f>'enrolment vs availed_UPY'!Q15</f>
        <v>3647025</v>
      </c>
      <c r="I16" s="19">
        <v>225</v>
      </c>
      <c r="J16" s="324">
        <f t="shared" si="2"/>
        <v>16209</v>
      </c>
      <c r="L16" s="500"/>
    </row>
    <row r="17" spans="1:12" ht="12.75">
      <c r="A17" s="8">
        <v>6</v>
      </c>
      <c r="B17" s="19" t="s">
        <v>481</v>
      </c>
      <c r="C17" s="19">
        <f t="shared" si="0"/>
        <v>148</v>
      </c>
      <c r="D17" s="19">
        <v>11643</v>
      </c>
      <c r="E17" s="19">
        <v>230</v>
      </c>
      <c r="F17" s="106">
        <f t="shared" si="1"/>
        <v>2677890</v>
      </c>
      <c r="G17" s="19">
        <f>'AT-3'!D14+'AT-3'!E14</f>
        <v>148</v>
      </c>
      <c r="H17" s="324">
        <f>'enrolment vs availed_UPY'!Q16</f>
        <v>2471400</v>
      </c>
      <c r="I17" s="19">
        <v>225</v>
      </c>
      <c r="J17" s="324">
        <f t="shared" si="2"/>
        <v>10984</v>
      </c>
      <c r="L17" s="500"/>
    </row>
    <row r="18" spans="1:12" ht="12.75">
      <c r="A18" s="8">
        <v>7</v>
      </c>
      <c r="B18" s="19" t="s">
        <v>482</v>
      </c>
      <c r="C18" s="19">
        <f t="shared" si="0"/>
        <v>243</v>
      </c>
      <c r="D18" s="19">
        <v>16210</v>
      </c>
      <c r="E18" s="19">
        <v>230</v>
      </c>
      <c r="F18" s="106">
        <f t="shared" si="1"/>
        <v>3728300</v>
      </c>
      <c r="G18" s="19">
        <f>'AT-3'!D15+'AT-3'!E15</f>
        <v>243</v>
      </c>
      <c r="H18" s="324">
        <f>'enrolment vs availed_UPY'!Q17</f>
        <v>3370050</v>
      </c>
      <c r="I18" s="19">
        <v>225</v>
      </c>
      <c r="J18" s="324">
        <f t="shared" si="2"/>
        <v>14978</v>
      </c>
      <c r="L18" s="500"/>
    </row>
    <row r="19" spans="1:12" ht="12.75">
      <c r="A19" s="8">
        <v>8</v>
      </c>
      <c r="B19" s="19" t="s">
        <v>483</v>
      </c>
      <c r="C19" s="19">
        <f t="shared" si="0"/>
        <v>328</v>
      </c>
      <c r="D19" s="19">
        <v>16722</v>
      </c>
      <c r="E19" s="19">
        <v>230</v>
      </c>
      <c r="F19" s="106">
        <f t="shared" si="1"/>
        <v>3846060</v>
      </c>
      <c r="G19" s="19">
        <f>'AT-3'!D16+'AT-3'!E16</f>
        <v>328</v>
      </c>
      <c r="H19" s="324">
        <f>'enrolment vs availed_UPY'!Q18</f>
        <v>3329550</v>
      </c>
      <c r="I19" s="19">
        <v>225</v>
      </c>
      <c r="J19" s="324">
        <f t="shared" si="2"/>
        <v>14798</v>
      </c>
      <c r="L19" s="500"/>
    </row>
    <row r="20" spans="1:12" ht="12.75">
      <c r="A20" s="3"/>
      <c r="B20" s="27" t="s">
        <v>484</v>
      </c>
      <c r="C20" s="19">
        <f>SUM(C12:C19)</f>
        <v>2127</v>
      </c>
      <c r="D20" s="19">
        <f aca="true" t="shared" si="3" ref="D20:J20">SUM(D12:D19)</f>
        <v>134228</v>
      </c>
      <c r="E20" s="19"/>
      <c r="F20" s="19">
        <f t="shared" si="3"/>
        <v>30872440</v>
      </c>
      <c r="G20" s="19">
        <f t="shared" si="3"/>
        <v>2127</v>
      </c>
      <c r="H20" s="19">
        <f t="shared" si="3"/>
        <v>27792225</v>
      </c>
      <c r="I20" s="19"/>
      <c r="J20" s="325">
        <f t="shared" si="3"/>
        <v>123521</v>
      </c>
      <c r="L20" s="21"/>
    </row>
    <row r="21" spans="1:10" ht="12.75">
      <c r="A21" s="12"/>
      <c r="B21" s="28"/>
      <c r="C21" s="28"/>
      <c r="D21" s="21"/>
      <c r="E21" s="21"/>
      <c r="F21" s="21"/>
      <c r="G21" s="21"/>
      <c r="H21" s="21"/>
      <c r="I21" s="21"/>
      <c r="J21" s="21"/>
    </row>
    <row r="22" spans="1:10" ht="12.75">
      <c r="A22" s="230" t="s">
        <v>996</v>
      </c>
      <c r="B22" s="230"/>
      <c r="C22" s="230"/>
      <c r="D22" s="230"/>
      <c r="E22" s="230"/>
      <c r="F22" s="230"/>
      <c r="G22" s="230"/>
      <c r="H22" s="24"/>
      <c r="I22" s="24" t="s">
        <v>10</v>
      </c>
      <c r="J22" s="21"/>
    </row>
    <row r="23" spans="1:10" ht="12.75">
      <c r="A23" s="12"/>
      <c r="B23" s="28"/>
      <c r="C23" s="28"/>
      <c r="D23" s="21"/>
      <c r="E23" s="21"/>
      <c r="F23" s="21"/>
      <c r="G23" s="21"/>
      <c r="H23" s="21"/>
      <c r="I23" s="21"/>
      <c r="J23" s="21"/>
    </row>
    <row r="24" spans="1:10" ht="12.75">
      <c r="A24" s="15" t="s">
        <v>11</v>
      </c>
      <c r="B24" s="15"/>
      <c r="C24" s="15"/>
      <c r="D24" s="503"/>
      <c r="E24" s="504"/>
      <c r="F24" s="15"/>
      <c r="G24" s="15"/>
      <c r="I24" s="757"/>
      <c r="J24" s="757"/>
    </row>
    <row r="25" spans="2:10" ht="12.75">
      <c r="B25" s="446"/>
      <c r="C25" s="446"/>
      <c r="D25" s="503"/>
      <c r="E25" s="504"/>
      <c r="F25" s="446"/>
      <c r="G25" s="446"/>
      <c r="H25" s="447"/>
      <c r="I25" s="757" t="s">
        <v>819</v>
      </c>
      <c r="J25" s="757"/>
    </row>
    <row r="26" spans="2:10" ht="12.75">
      <c r="B26" s="86"/>
      <c r="C26" s="86"/>
      <c r="D26" s="503"/>
      <c r="E26" s="504"/>
      <c r="F26" s="86"/>
      <c r="G26" s="86"/>
      <c r="H26" s="33"/>
      <c r="I26" s="757" t="s">
        <v>488</v>
      </c>
      <c r="J26" s="757"/>
    </row>
    <row r="27" spans="1:10" ht="12.75">
      <c r="A27" s="15"/>
      <c r="B27" s="15"/>
      <c r="C27" s="15"/>
      <c r="D27" s="503"/>
      <c r="E27" s="504"/>
      <c r="H27" s="758" t="s">
        <v>80</v>
      </c>
      <c r="I27" s="758"/>
      <c r="J27" s="758"/>
    </row>
    <row r="28" spans="4:5" ht="12.75">
      <c r="D28" s="503"/>
      <c r="E28" s="504"/>
    </row>
    <row r="29" spans="4:5" ht="12.75">
      <c r="D29" s="503"/>
      <c r="E29" s="504"/>
    </row>
    <row r="30" spans="4:5" ht="12.75">
      <c r="D30" s="503"/>
      <c r="E30" s="504"/>
    </row>
    <row r="31" spans="1:10" ht="12.75">
      <c r="A31" s="445"/>
      <c r="B31" s="445"/>
      <c r="C31" s="445"/>
      <c r="D31" s="503"/>
      <c r="E31" s="504"/>
      <c r="F31" s="445"/>
      <c r="G31" s="445"/>
      <c r="H31" s="445"/>
      <c r="I31" s="445"/>
      <c r="J31" s="445"/>
    </row>
    <row r="32" ht="12.75">
      <c r="D32" s="504"/>
    </row>
    <row r="33" spans="1:10" ht="12.75">
      <c r="A33" s="759"/>
      <c r="B33" s="759"/>
      <c r="C33" s="759"/>
      <c r="D33" s="759"/>
      <c r="E33" s="759"/>
      <c r="F33" s="759"/>
      <c r="G33" s="759"/>
      <c r="H33" s="759"/>
      <c r="I33" s="759"/>
      <c r="J33" s="759"/>
    </row>
  </sheetData>
  <sheetProtection/>
  <mergeCells count="15">
    <mergeCell ref="I26:J26"/>
    <mergeCell ref="H27:J27"/>
    <mergeCell ref="A33:J33"/>
    <mergeCell ref="A9:A10"/>
    <mergeCell ref="B9:B10"/>
    <mergeCell ref="C9:F9"/>
    <mergeCell ref="G9:J9"/>
    <mergeCell ref="I24:J24"/>
    <mergeCell ref="I25:J25"/>
    <mergeCell ref="E1:I1"/>
    <mergeCell ref="A2:J2"/>
    <mergeCell ref="A3:J3"/>
    <mergeCell ref="A5:J5"/>
    <mergeCell ref="A8:B8"/>
    <mergeCell ref="H8:J8"/>
  </mergeCells>
  <printOptions horizontalCentered="1"/>
  <pageMargins left="0.48" right="0.16" top="1.24" bottom="0"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1">
      <selection activeCell="E14" sqref="E14:H15"/>
    </sheetView>
  </sheetViews>
  <sheetFormatPr defaultColWidth="9.140625" defaultRowHeight="12.75"/>
  <cols>
    <col min="1" max="1" width="4.7109375" style="16" customWidth="1"/>
    <col min="2" max="2" width="14.421875" style="16" customWidth="1"/>
    <col min="3" max="3" width="11.00390625" style="16" customWidth="1"/>
    <col min="4" max="4" width="10.00390625" style="16" customWidth="1"/>
    <col min="5" max="5" width="14.00390625" style="16" customWidth="1"/>
    <col min="6" max="6" width="15.00390625" style="16" customWidth="1"/>
    <col min="7" max="7" width="13.28125" style="16" customWidth="1"/>
    <col min="8" max="8" width="14.7109375" style="16" customWidth="1"/>
    <col min="9" max="9" width="15.57421875" style="16" customWidth="1"/>
    <col min="10" max="10" width="19.28125" style="16" customWidth="1"/>
    <col min="11" max="16384" width="9.140625" style="16" customWidth="1"/>
  </cols>
  <sheetData>
    <row r="1" spans="5:10" ht="12.75">
      <c r="E1" s="697"/>
      <c r="F1" s="697"/>
      <c r="G1" s="697"/>
      <c r="H1" s="697"/>
      <c r="I1" s="697"/>
      <c r="J1" s="49" t="s">
        <v>362</v>
      </c>
    </row>
    <row r="2" spans="1:10" ht="15">
      <c r="A2" s="751" t="s">
        <v>0</v>
      </c>
      <c r="B2" s="751"/>
      <c r="C2" s="751"/>
      <c r="D2" s="751"/>
      <c r="E2" s="751"/>
      <c r="F2" s="751"/>
      <c r="G2" s="751"/>
      <c r="H2" s="751"/>
      <c r="I2" s="751"/>
      <c r="J2" s="751"/>
    </row>
    <row r="3" spans="1:10" ht="20.25">
      <c r="A3" s="645" t="s">
        <v>854</v>
      </c>
      <c r="B3" s="645"/>
      <c r="C3" s="645"/>
      <c r="D3" s="645"/>
      <c r="E3" s="645"/>
      <c r="F3" s="645"/>
      <c r="G3" s="645"/>
      <c r="H3" s="645"/>
      <c r="I3" s="645"/>
      <c r="J3" s="645"/>
    </row>
    <row r="4" ht="14.25" customHeight="1"/>
    <row r="5" spans="1:10" ht="31.5" customHeight="1">
      <c r="A5" s="752" t="s">
        <v>907</v>
      </c>
      <c r="B5" s="752"/>
      <c r="C5" s="752"/>
      <c r="D5" s="752"/>
      <c r="E5" s="752"/>
      <c r="F5" s="752"/>
      <c r="G5" s="752"/>
      <c r="H5" s="752"/>
      <c r="I5" s="752"/>
      <c r="J5" s="752"/>
    </row>
    <row r="6" spans="1:10" ht="13.5" customHeight="1">
      <c r="A6" s="1"/>
      <c r="B6" s="1"/>
      <c r="C6" s="1"/>
      <c r="D6" s="1"/>
      <c r="E6" s="1"/>
      <c r="F6" s="1"/>
      <c r="G6" s="1"/>
      <c r="H6" s="1"/>
      <c r="I6" s="1"/>
      <c r="J6" s="1"/>
    </row>
    <row r="7" ht="0.75" customHeight="1"/>
    <row r="8" spans="1:10" ht="12.75">
      <c r="A8" s="699" t="s">
        <v>475</v>
      </c>
      <c r="B8" s="699"/>
      <c r="C8" s="29"/>
      <c r="H8" s="742" t="s">
        <v>934</v>
      </c>
      <c r="I8" s="742"/>
      <c r="J8" s="742"/>
    </row>
    <row r="9" spans="1:16" ht="12.75">
      <c r="A9" s="653" t="s">
        <v>492</v>
      </c>
      <c r="B9" s="653" t="s">
        <v>3</v>
      </c>
      <c r="C9" s="708" t="s">
        <v>905</v>
      </c>
      <c r="D9" s="709"/>
      <c r="E9" s="709"/>
      <c r="F9" s="710"/>
      <c r="G9" s="708" t="s">
        <v>99</v>
      </c>
      <c r="H9" s="709"/>
      <c r="I9" s="709"/>
      <c r="J9" s="710"/>
      <c r="O9" s="19"/>
      <c r="P9" s="21"/>
    </row>
    <row r="10" spans="1:10" ht="53.25" customHeight="1">
      <c r="A10" s="653"/>
      <c r="B10" s="653"/>
      <c r="C10" s="257" t="s">
        <v>182</v>
      </c>
      <c r="D10" s="257" t="s">
        <v>13</v>
      </c>
      <c r="E10" s="253" t="s">
        <v>935</v>
      </c>
      <c r="F10" s="253" t="s">
        <v>199</v>
      </c>
      <c r="G10" s="257" t="s">
        <v>182</v>
      </c>
      <c r="H10" s="278" t="s">
        <v>14</v>
      </c>
      <c r="I10" s="279" t="s">
        <v>106</v>
      </c>
      <c r="J10" s="257" t="s">
        <v>997</v>
      </c>
    </row>
    <row r="11" spans="1:10" ht="12.75">
      <c r="A11" s="5">
        <v>1</v>
      </c>
      <c r="B11" s="5">
        <v>2</v>
      </c>
      <c r="C11" s="5">
        <v>3</v>
      </c>
      <c r="D11" s="5">
        <v>4</v>
      </c>
      <c r="E11" s="5">
        <v>5</v>
      </c>
      <c r="F11" s="7">
        <v>6</v>
      </c>
      <c r="G11" s="5">
        <v>7</v>
      </c>
      <c r="H11" s="104">
        <v>8</v>
      </c>
      <c r="I11" s="5">
        <v>9</v>
      </c>
      <c r="J11" s="5">
        <v>10</v>
      </c>
    </row>
    <row r="12" spans="1:10" ht="12.75">
      <c r="A12" s="8">
        <v>1</v>
      </c>
      <c r="B12" s="19" t="s">
        <v>476</v>
      </c>
      <c r="C12" s="19"/>
      <c r="D12" s="19"/>
      <c r="E12" s="19"/>
      <c r="F12" s="106"/>
      <c r="G12" s="19"/>
      <c r="H12" s="26"/>
      <c r="I12" s="26"/>
      <c r="J12" s="26"/>
    </row>
    <row r="13" spans="1:10" ht="12.75">
      <c r="A13" s="8">
        <v>2</v>
      </c>
      <c r="B13" s="19" t="s">
        <v>477</v>
      </c>
      <c r="C13" s="19"/>
      <c r="D13" s="19"/>
      <c r="E13" s="19"/>
      <c r="F13" s="25"/>
      <c r="G13" s="19"/>
      <c r="H13" s="26"/>
      <c r="I13" s="26"/>
      <c r="J13" s="26"/>
    </row>
    <row r="14" spans="1:10" ht="12.75">
      <c r="A14" s="8">
        <v>3</v>
      </c>
      <c r="B14" s="19" t="s">
        <v>478</v>
      </c>
      <c r="C14" s="19"/>
      <c r="D14" s="19"/>
      <c r="E14" s="760" t="s">
        <v>510</v>
      </c>
      <c r="F14" s="761"/>
      <c r="G14" s="761"/>
      <c r="H14" s="762"/>
      <c r="I14" s="26"/>
      <c r="J14" s="26"/>
    </row>
    <row r="15" spans="1:10" ht="12.75">
      <c r="A15" s="8">
        <v>4</v>
      </c>
      <c r="B15" s="19" t="s">
        <v>479</v>
      </c>
      <c r="C15" s="19"/>
      <c r="D15" s="19"/>
      <c r="E15" s="763"/>
      <c r="F15" s="764"/>
      <c r="G15" s="764"/>
      <c r="H15" s="765"/>
      <c r="I15" s="26"/>
      <c r="J15" s="26"/>
    </row>
    <row r="16" spans="1:10" ht="12.75">
      <c r="A16" s="8">
        <v>5</v>
      </c>
      <c r="B16" s="19" t="s">
        <v>480</v>
      </c>
      <c r="C16" s="19"/>
      <c r="D16" s="19"/>
      <c r="E16" s="19"/>
      <c r="F16" s="25"/>
      <c r="G16" s="19"/>
      <c r="H16" s="26"/>
      <c r="I16" s="26"/>
      <c r="J16" s="26"/>
    </row>
    <row r="17" spans="1:10" ht="12.75">
      <c r="A17" s="8">
        <v>6</v>
      </c>
      <c r="B17" s="19" t="s">
        <v>481</v>
      </c>
      <c r="C17" s="19"/>
      <c r="D17" s="19"/>
      <c r="E17" s="19"/>
      <c r="F17" s="25"/>
      <c r="G17" s="19"/>
      <c r="H17" s="26"/>
      <c r="I17" s="26"/>
      <c r="J17" s="26"/>
    </row>
    <row r="18" spans="1:10" ht="12.75">
      <c r="A18" s="8">
        <v>7</v>
      </c>
      <c r="B18" s="19" t="s">
        <v>482</v>
      </c>
      <c r="C18" s="19"/>
      <c r="D18" s="19"/>
      <c r="E18" s="19"/>
      <c r="F18" s="25"/>
      <c r="G18" s="19"/>
      <c r="H18" s="26"/>
      <c r="I18" s="26"/>
      <c r="J18" s="26"/>
    </row>
    <row r="19" spans="1:10" ht="12.75">
      <c r="A19" s="8">
        <v>8</v>
      </c>
      <c r="B19" s="19" t="s">
        <v>483</v>
      </c>
      <c r="C19" s="19"/>
      <c r="D19" s="19"/>
      <c r="E19" s="19"/>
      <c r="F19" s="25"/>
      <c r="G19" s="19"/>
      <c r="H19" s="26"/>
      <c r="I19" s="26"/>
      <c r="J19" s="26"/>
    </row>
    <row r="20" spans="1:10" ht="12.75">
      <c r="A20" s="3"/>
      <c r="B20" s="27" t="s">
        <v>484</v>
      </c>
      <c r="C20" s="19"/>
      <c r="D20" s="19"/>
      <c r="E20" s="19"/>
      <c r="F20" s="25"/>
      <c r="G20" s="19"/>
      <c r="H20" s="26"/>
      <c r="I20" s="26"/>
      <c r="J20" s="26"/>
    </row>
    <row r="21" spans="1:10" ht="12.75">
      <c r="A21" s="12"/>
      <c r="B21" s="28"/>
      <c r="C21" s="28"/>
      <c r="D21" s="21"/>
      <c r="E21" s="21"/>
      <c r="F21" s="21"/>
      <c r="G21" s="21"/>
      <c r="H21" s="21"/>
      <c r="I21" s="21"/>
      <c r="J21" s="21"/>
    </row>
    <row r="22" spans="1:10" ht="12.75">
      <c r="A22" s="230" t="s">
        <v>996</v>
      </c>
      <c r="B22" s="230"/>
      <c r="C22" s="230"/>
      <c r="D22" s="230"/>
      <c r="E22" s="230"/>
      <c r="F22" s="230"/>
      <c r="G22" s="230"/>
      <c r="H22" s="24"/>
      <c r="I22" s="24" t="s">
        <v>10</v>
      </c>
      <c r="J22" s="21"/>
    </row>
    <row r="23" spans="1:10" ht="12.75">
      <c r="A23" s="12"/>
      <c r="B23" s="28"/>
      <c r="C23" s="28"/>
      <c r="D23" s="21"/>
      <c r="E23" s="21"/>
      <c r="F23" s="21"/>
      <c r="G23" s="21"/>
      <c r="H23" s="21"/>
      <c r="I23" s="21"/>
      <c r="J23" s="21"/>
    </row>
    <row r="24" spans="1:10" ht="12.75">
      <c r="A24" s="15" t="s">
        <v>11</v>
      </c>
      <c r="B24" s="15"/>
      <c r="C24" s="15"/>
      <c r="D24" s="15"/>
      <c r="E24" s="15"/>
      <c r="F24" s="15"/>
      <c r="G24" s="15"/>
      <c r="I24" s="757"/>
      <c r="J24" s="757"/>
    </row>
    <row r="25" spans="2:10" ht="12.75" customHeight="1">
      <c r="B25" s="446"/>
      <c r="C25" s="446"/>
      <c r="D25" s="446"/>
      <c r="E25" s="446"/>
      <c r="F25" s="446"/>
      <c r="G25" s="446"/>
      <c r="H25" s="446"/>
      <c r="I25" s="757" t="s">
        <v>819</v>
      </c>
      <c r="J25" s="757"/>
    </row>
    <row r="26" spans="2:10" ht="12.75" customHeight="1">
      <c r="B26" s="86"/>
      <c r="C26" s="86"/>
      <c r="D26" s="86"/>
      <c r="E26" s="86"/>
      <c r="F26" s="86"/>
      <c r="G26" s="86"/>
      <c r="H26" s="86"/>
      <c r="I26" s="757" t="s">
        <v>488</v>
      </c>
      <c r="J26" s="757"/>
    </row>
    <row r="27" spans="1:10" ht="12.75">
      <c r="A27" s="15"/>
      <c r="B27" s="15"/>
      <c r="C27" s="15"/>
      <c r="E27" s="15"/>
      <c r="I27" s="445" t="s">
        <v>80</v>
      </c>
      <c r="J27" s="31"/>
    </row>
    <row r="31" spans="1:10" ht="12.75">
      <c r="A31" s="759"/>
      <c r="B31" s="759"/>
      <c r="C31" s="759"/>
      <c r="D31" s="759"/>
      <c r="E31" s="759"/>
      <c r="F31" s="759"/>
      <c r="G31" s="759"/>
      <c r="H31" s="759"/>
      <c r="I31" s="759"/>
      <c r="J31" s="759"/>
    </row>
    <row r="33" spans="1:10" ht="12.75">
      <c r="A33" s="759"/>
      <c r="B33" s="759"/>
      <c r="C33" s="759"/>
      <c r="D33" s="759"/>
      <c r="E33" s="759"/>
      <c r="F33" s="759"/>
      <c r="G33" s="759"/>
      <c r="H33" s="759"/>
      <c r="I33" s="759"/>
      <c r="J33" s="759"/>
    </row>
  </sheetData>
  <sheetProtection/>
  <mergeCells count="16">
    <mergeCell ref="E1:I1"/>
    <mergeCell ref="A2:J2"/>
    <mergeCell ref="A3:J3"/>
    <mergeCell ref="A5:J5"/>
    <mergeCell ref="A8:B8"/>
    <mergeCell ref="H8:J8"/>
    <mergeCell ref="I25:J25"/>
    <mergeCell ref="A31:J31"/>
    <mergeCell ref="A33:J33"/>
    <mergeCell ref="A9:A10"/>
    <mergeCell ref="B9:B10"/>
    <mergeCell ref="C9:F9"/>
    <mergeCell ref="G9:J9"/>
    <mergeCell ref="I24:J24"/>
    <mergeCell ref="I26:J26"/>
    <mergeCell ref="E14:H15"/>
  </mergeCells>
  <printOptions horizontalCentered="1"/>
  <pageMargins left="0.36" right="0.23" top="1.34" bottom="0" header="0.93"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1">
      <selection activeCell="E14" sqref="E14:H15"/>
    </sheetView>
  </sheetViews>
  <sheetFormatPr defaultColWidth="9.140625" defaultRowHeight="12.75"/>
  <cols>
    <col min="1" max="1" width="5.8515625" style="16" customWidth="1"/>
    <col min="2" max="2" width="13.57421875" style="16" customWidth="1"/>
    <col min="3" max="3" width="11.00390625" style="16" customWidth="1"/>
    <col min="4" max="4" width="10.00390625" style="16" customWidth="1"/>
    <col min="5" max="5" width="13.140625" style="16" customWidth="1"/>
    <col min="6" max="6" width="14.85156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97"/>
      <c r="F1" s="697"/>
      <c r="G1" s="697"/>
      <c r="H1" s="697"/>
      <c r="I1" s="697"/>
      <c r="J1" s="49" t="s">
        <v>361</v>
      </c>
    </row>
    <row r="2" spans="1:10" ht="15">
      <c r="A2" s="751" t="s">
        <v>0</v>
      </c>
      <c r="B2" s="751"/>
      <c r="C2" s="751"/>
      <c r="D2" s="751"/>
      <c r="E2" s="751"/>
      <c r="F2" s="751"/>
      <c r="G2" s="751"/>
      <c r="H2" s="751"/>
      <c r="I2" s="751"/>
      <c r="J2" s="751"/>
    </row>
    <row r="3" spans="1:10" ht="20.25">
      <c r="A3" s="645" t="s">
        <v>854</v>
      </c>
      <c r="B3" s="645"/>
      <c r="C3" s="645"/>
      <c r="D3" s="645"/>
      <c r="E3" s="645"/>
      <c r="F3" s="645"/>
      <c r="G3" s="645"/>
      <c r="H3" s="645"/>
      <c r="I3" s="645"/>
      <c r="J3" s="645"/>
    </row>
    <row r="4" ht="14.25" customHeight="1"/>
    <row r="5" spans="1:10" ht="31.5" customHeight="1">
      <c r="A5" s="752" t="s">
        <v>908</v>
      </c>
      <c r="B5" s="752"/>
      <c r="C5" s="752"/>
      <c r="D5" s="752"/>
      <c r="E5" s="752"/>
      <c r="F5" s="752"/>
      <c r="G5" s="752"/>
      <c r="H5" s="752"/>
      <c r="I5" s="752"/>
      <c r="J5" s="752"/>
    </row>
    <row r="6" spans="1:10" ht="13.5" customHeight="1">
      <c r="A6" s="1"/>
      <c r="B6" s="1"/>
      <c r="C6" s="1"/>
      <c r="D6" s="1"/>
      <c r="E6" s="1"/>
      <c r="F6" s="1"/>
      <c r="G6" s="1"/>
      <c r="H6" s="1"/>
      <c r="I6" s="1"/>
      <c r="J6" s="1"/>
    </row>
    <row r="7" ht="0.75" customHeight="1"/>
    <row r="8" spans="1:10" ht="12.75">
      <c r="A8" s="699" t="s">
        <v>475</v>
      </c>
      <c r="B8" s="699"/>
      <c r="C8" s="29"/>
      <c r="H8" s="742" t="s">
        <v>934</v>
      </c>
      <c r="I8" s="742"/>
      <c r="J8" s="742"/>
    </row>
    <row r="9" spans="1:16" s="280" customFormat="1" ht="16.5" customHeight="1">
      <c r="A9" s="653" t="s">
        <v>493</v>
      </c>
      <c r="B9" s="653" t="s">
        <v>3</v>
      </c>
      <c r="C9" s="708" t="s">
        <v>905</v>
      </c>
      <c r="D9" s="709"/>
      <c r="E9" s="709"/>
      <c r="F9" s="710"/>
      <c r="G9" s="708" t="s">
        <v>99</v>
      </c>
      <c r="H9" s="709"/>
      <c r="I9" s="709"/>
      <c r="J9" s="710"/>
      <c r="O9" s="148"/>
      <c r="P9" s="281"/>
    </row>
    <row r="10" spans="1:10" s="280" customFormat="1" ht="44.25" customHeight="1">
      <c r="A10" s="653"/>
      <c r="B10" s="653"/>
      <c r="C10" s="257" t="s">
        <v>182</v>
      </c>
      <c r="D10" s="257" t="s">
        <v>13</v>
      </c>
      <c r="E10" s="253" t="s">
        <v>363</v>
      </c>
      <c r="F10" s="253" t="s">
        <v>199</v>
      </c>
      <c r="G10" s="257" t="s">
        <v>182</v>
      </c>
      <c r="H10" s="278" t="s">
        <v>14</v>
      </c>
      <c r="I10" s="279" t="s">
        <v>106</v>
      </c>
      <c r="J10" s="257" t="s">
        <v>997</v>
      </c>
    </row>
    <row r="11" spans="1:10" ht="12.75">
      <c r="A11" s="5">
        <v>1</v>
      </c>
      <c r="B11" s="5">
        <v>2</v>
      </c>
      <c r="C11" s="5">
        <v>3</v>
      </c>
      <c r="D11" s="5">
        <v>4</v>
      </c>
      <c r="E11" s="5">
        <v>5</v>
      </c>
      <c r="F11" s="7">
        <v>6</v>
      </c>
      <c r="G11" s="5">
        <v>7</v>
      </c>
      <c r="H11" s="104">
        <v>8</v>
      </c>
      <c r="I11" s="5">
        <v>9</v>
      </c>
      <c r="J11" s="5">
        <v>10</v>
      </c>
    </row>
    <row r="12" spans="1:10" ht="12.75">
      <c r="A12" s="8">
        <v>1</v>
      </c>
      <c r="B12" s="19" t="s">
        <v>476</v>
      </c>
      <c r="C12" s="19"/>
      <c r="D12" s="19"/>
      <c r="E12" s="19"/>
      <c r="F12" s="106"/>
      <c r="G12" s="19"/>
      <c r="H12" s="26"/>
      <c r="I12" s="26"/>
      <c r="J12" s="26"/>
    </row>
    <row r="13" spans="1:10" ht="12.75">
      <c r="A13" s="8">
        <v>2</v>
      </c>
      <c r="B13" s="19" t="s">
        <v>477</v>
      </c>
      <c r="C13" s="19"/>
      <c r="D13" s="19"/>
      <c r="E13" s="19"/>
      <c r="F13" s="25"/>
      <c r="G13" s="19"/>
      <c r="H13" s="26"/>
      <c r="I13" s="26"/>
      <c r="J13" s="26"/>
    </row>
    <row r="14" spans="1:10" ht="12.75">
      <c r="A14" s="8">
        <v>3</v>
      </c>
      <c r="B14" s="19" t="s">
        <v>478</v>
      </c>
      <c r="C14" s="19"/>
      <c r="D14" s="19"/>
      <c r="E14" s="766" t="s">
        <v>510</v>
      </c>
      <c r="F14" s="767"/>
      <c r="G14" s="767"/>
      <c r="H14" s="768"/>
      <c r="I14" s="26"/>
      <c r="J14" s="26"/>
    </row>
    <row r="15" spans="1:10" ht="12.75">
      <c r="A15" s="8">
        <v>4</v>
      </c>
      <c r="B15" s="19" t="s">
        <v>479</v>
      </c>
      <c r="C15" s="19"/>
      <c r="D15" s="19"/>
      <c r="E15" s="769"/>
      <c r="F15" s="770"/>
      <c r="G15" s="770"/>
      <c r="H15" s="771"/>
      <c r="I15" s="26"/>
      <c r="J15" s="26"/>
    </row>
    <row r="16" spans="1:10" ht="12.75">
      <c r="A16" s="8">
        <v>5</v>
      </c>
      <c r="B16" s="19" t="s">
        <v>480</v>
      </c>
      <c r="C16" s="19"/>
      <c r="D16" s="19"/>
      <c r="E16" s="19"/>
      <c r="F16" s="25"/>
      <c r="G16" s="19"/>
      <c r="H16" s="26"/>
      <c r="I16" s="26"/>
      <c r="J16" s="26"/>
    </row>
    <row r="17" spans="1:10" ht="12.75">
      <c r="A17" s="8">
        <v>6</v>
      </c>
      <c r="B17" s="19" t="s">
        <v>481</v>
      </c>
      <c r="C17" s="19"/>
      <c r="D17" s="19"/>
      <c r="E17" s="19"/>
      <c r="F17" s="25"/>
      <c r="G17" s="19"/>
      <c r="H17" s="26"/>
      <c r="I17" s="26"/>
      <c r="J17" s="26"/>
    </row>
    <row r="18" spans="1:10" ht="12.75">
      <c r="A18" s="8">
        <v>7</v>
      </c>
      <c r="B18" s="19" t="s">
        <v>482</v>
      </c>
      <c r="C18" s="19"/>
      <c r="D18" s="19"/>
      <c r="E18" s="19"/>
      <c r="F18" s="25"/>
      <c r="G18" s="19"/>
      <c r="H18" s="26"/>
      <c r="I18" s="26"/>
      <c r="J18" s="26"/>
    </row>
    <row r="19" spans="1:10" ht="12.75">
      <c r="A19" s="8">
        <v>8</v>
      </c>
      <c r="B19" s="19" t="s">
        <v>483</v>
      </c>
      <c r="C19" s="19"/>
      <c r="D19" s="19"/>
      <c r="E19" s="19"/>
      <c r="F19" s="25"/>
      <c r="G19" s="19"/>
      <c r="H19" s="26"/>
      <c r="I19" s="26"/>
      <c r="J19" s="26"/>
    </row>
    <row r="20" spans="1:10" ht="12.75">
      <c r="A20" s="3"/>
      <c r="B20" s="27" t="s">
        <v>484</v>
      </c>
      <c r="C20" s="19"/>
      <c r="D20" s="19"/>
      <c r="E20" s="19"/>
      <c r="F20" s="25"/>
      <c r="G20" s="19"/>
      <c r="H20" s="26"/>
      <c r="I20" s="26"/>
      <c r="J20" s="26"/>
    </row>
    <row r="21" spans="1:10" ht="12.75">
      <c r="A21" s="12"/>
      <c r="B21" s="28"/>
      <c r="C21" s="28"/>
      <c r="D21" s="21"/>
      <c r="E21" s="21"/>
      <c r="F21" s="21"/>
      <c r="G21" s="21"/>
      <c r="H21" s="21"/>
      <c r="I21" s="21"/>
      <c r="J21" s="21"/>
    </row>
    <row r="22" spans="1:10" ht="12.75">
      <c r="A22" s="230" t="s">
        <v>996</v>
      </c>
      <c r="B22" s="230"/>
      <c r="C22" s="230"/>
      <c r="D22" s="230"/>
      <c r="E22" s="230"/>
      <c r="F22" s="230"/>
      <c r="G22" s="230"/>
      <c r="H22" s="24"/>
      <c r="I22" s="24" t="s">
        <v>10</v>
      </c>
      <c r="J22" s="21"/>
    </row>
    <row r="23" spans="1:10" ht="12.75">
      <c r="A23" s="12"/>
      <c r="B23" s="28"/>
      <c r="C23" s="28"/>
      <c r="D23" s="21"/>
      <c r="E23" s="21"/>
      <c r="F23" s="21"/>
      <c r="G23" s="21"/>
      <c r="H23" s="21"/>
      <c r="I23" s="21"/>
      <c r="J23" s="21"/>
    </row>
    <row r="24" spans="1:10" ht="15.75" customHeight="1">
      <c r="A24" s="15" t="s">
        <v>11</v>
      </c>
      <c r="B24" s="15"/>
      <c r="C24" s="15"/>
      <c r="D24" s="15"/>
      <c r="E24" s="15"/>
      <c r="F24" s="15"/>
      <c r="G24" s="15"/>
      <c r="I24" s="756"/>
      <c r="J24" s="756"/>
    </row>
    <row r="25" spans="2:10" ht="12.75" customHeight="1">
      <c r="B25" s="86"/>
      <c r="C25" s="86"/>
      <c r="D25" s="86"/>
      <c r="E25" s="86"/>
      <c r="F25" s="86"/>
      <c r="G25" s="86"/>
      <c r="H25" s="33"/>
      <c r="I25" s="756" t="s">
        <v>819</v>
      </c>
      <c r="J25" s="756"/>
    </row>
    <row r="26" spans="2:10" ht="12.75" customHeight="1">
      <c r="B26" s="86"/>
      <c r="C26" s="86"/>
      <c r="D26" s="86"/>
      <c r="E26" s="86"/>
      <c r="F26" s="86"/>
      <c r="G26" s="86"/>
      <c r="H26" s="33"/>
      <c r="I26" s="756" t="s">
        <v>488</v>
      </c>
      <c r="J26" s="756"/>
    </row>
    <row r="27" spans="1:10" ht="12.75">
      <c r="A27" s="15"/>
      <c r="B27" s="15"/>
      <c r="C27" s="15"/>
      <c r="E27" s="15"/>
      <c r="H27" s="772" t="s">
        <v>494</v>
      </c>
      <c r="I27" s="772"/>
      <c r="J27" s="772"/>
    </row>
    <row r="31" spans="1:10" ht="12.75">
      <c r="A31" s="759"/>
      <c r="B31" s="759"/>
      <c r="C31" s="759"/>
      <c r="D31" s="759"/>
      <c r="E31" s="759"/>
      <c r="F31" s="759"/>
      <c r="G31" s="759"/>
      <c r="H31" s="759"/>
      <c r="I31" s="759"/>
      <c r="J31" s="759"/>
    </row>
    <row r="33" spans="1:10" ht="12.75">
      <c r="A33" s="759"/>
      <c r="B33" s="759"/>
      <c r="C33" s="759"/>
      <c r="D33" s="759"/>
      <c r="E33" s="759"/>
      <c r="F33" s="759"/>
      <c r="G33" s="759"/>
      <c r="H33" s="759"/>
      <c r="I33" s="759"/>
      <c r="J33" s="759"/>
    </row>
  </sheetData>
  <sheetProtection/>
  <mergeCells count="17">
    <mergeCell ref="I26:J26"/>
    <mergeCell ref="H27:J27"/>
    <mergeCell ref="A31:J31"/>
    <mergeCell ref="A33:J33"/>
    <mergeCell ref="A9:A10"/>
    <mergeCell ref="B9:B10"/>
    <mergeCell ref="C9:F9"/>
    <mergeCell ref="G9:J9"/>
    <mergeCell ref="I24:J24"/>
    <mergeCell ref="I25:J25"/>
    <mergeCell ref="E14:H15"/>
    <mergeCell ref="E1:I1"/>
    <mergeCell ref="A2:J2"/>
    <mergeCell ref="A3:J3"/>
    <mergeCell ref="A5:J5"/>
    <mergeCell ref="A8:B8"/>
    <mergeCell ref="H8:J8"/>
  </mergeCells>
  <printOptions horizontalCentered="1"/>
  <pageMargins left="0.52" right="0.21" top="1.24" bottom="0" header="0.67" footer="0.31496062992125984"/>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1">
      <selection activeCell="E14" sqref="E14:H15"/>
    </sheetView>
  </sheetViews>
  <sheetFormatPr defaultColWidth="9.140625" defaultRowHeight="12.75"/>
  <cols>
    <col min="1" max="1" width="5.28125" style="16" customWidth="1"/>
    <col min="2" max="2" width="14.00390625" style="16" customWidth="1"/>
    <col min="3" max="3" width="11.00390625" style="16" customWidth="1"/>
    <col min="4" max="4" width="10.00390625" style="16" customWidth="1"/>
    <col min="5" max="5" width="11.140625" style="16" customWidth="1"/>
    <col min="6" max="6" width="15.003906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97"/>
      <c r="F1" s="697"/>
      <c r="G1" s="697"/>
      <c r="H1" s="697"/>
      <c r="I1" s="697"/>
      <c r="J1" s="49" t="s">
        <v>436</v>
      </c>
    </row>
    <row r="2" spans="1:10" ht="15">
      <c r="A2" s="751" t="s">
        <v>0</v>
      </c>
      <c r="B2" s="751"/>
      <c r="C2" s="751"/>
      <c r="D2" s="751"/>
      <c r="E2" s="751"/>
      <c r="F2" s="751"/>
      <c r="G2" s="751"/>
      <c r="H2" s="751"/>
      <c r="I2" s="751"/>
      <c r="J2" s="751"/>
    </row>
    <row r="3" spans="1:10" ht="20.25">
      <c r="A3" s="645" t="s">
        <v>854</v>
      </c>
      <c r="B3" s="645"/>
      <c r="C3" s="645"/>
      <c r="D3" s="645"/>
      <c r="E3" s="645"/>
      <c r="F3" s="645"/>
      <c r="G3" s="645"/>
      <c r="H3" s="645"/>
      <c r="I3" s="645"/>
      <c r="J3" s="645"/>
    </row>
    <row r="4" ht="14.25" customHeight="1"/>
    <row r="5" spans="1:10" ht="31.5" customHeight="1">
      <c r="A5" s="752" t="s">
        <v>909</v>
      </c>
      <c r="B5" s="752"/>
      <c r="C5" s="752"/>
      <c r="D5" s="752"/>
      <c r="E5" s="752"/>
      <c r="F5" s="752"/>
      <c r="G5" s="752"/>
      <c r="H5" s="752"/>
      <c r="I5" s="752"/>
      <c r="J5" s="752"/>
    </row>
    <row r="6" spans="1:10" ht="13.5" customHeight="1">
      <c r="A6" s="1"/>
      <c r="B6" s="1"/>
      <c r="C6" s="1"/>
      <c r="D6" s="1"/>
      <c r="E6" s="1"/>
      <c r="F6" s="1"/>
      <c r="G6" s="1"/>
      <c r="H6" s="1"/>
      <c r="I6" s="1"/>
      <c r="J6" s="1"/>
    </row>
    <row r="7" ht="0.75" customHeight="1"/>
    <row r="8" spans="1:10" ht="12.75">
      <c r="A8" s="699" t="s">
        <v>475</v>
      </c>
      <c r="B8" s="699"/>
      <c r="C8" s="29"/>
      <c r="H8" s="742" t="s">
        <v>934</v>
      </c>
      <c r="I8" s="742"/>
      <c r="J8" s="742"/>
    </row>
    <row r="9" spans="1:16" s="280" customFormat="1" ht="12.75">
      <c r="A9" s="653" t="s">
        <v>490</v>
      </c>
      <c r="B9" s="653" t="s">
        <v>3</v>
      </c>
      <c r="C9" s="708" t="s">
        <v>905</v>
      </c>
      <c r="D9" s="709"/>
      <c r="E9" s="709"/>
      <c r="F9" s="710"/>
      <c r="G9" s="708" t="s">
        <v>99</v>
      </c>
      <c r="H9" s="709"/>
      <c r="I9" s="709"/>
      <c r="J9" s="710"/>
      <c r="O9" s="148"/>
      <c r="P9" s="281"/>
    </row>
    <row r="10" spans="1:10" s="280" customFormat="1" ht="53.25" customHeight="1">
      <c r="A10" s="653"/>
      <c r="B10" s="653"/>
      <c r="C10" s="257" t="s">
        <v>182</v>
      </c>
      <c r="D10" s="257" t="s">
        <v>13</v>
      </c>
      <c r="E10" s="253" t="s">
        <v>364</v>
      </c>
      <c r="F10" s="253" t="s">
        <v>199</v>
      </c>
      <c r="G10" s="257" t="s">
        <v>182</v>
      </c>
      <c r="H10" s="278" t="s">
        <v>14</v>
      </c>
      <c r="I10" s="279" t="s">
        <v>106</v>
      </c>
      <c r="J10" s="257" t="s">
        <v>997</v>
      </c>
    </row>
    <row r="11" spans="1:10" ht="12.75">
      <c r="A11" s="5">
        <v>1</v>
      </c>
      <c r="B11" s="5">
        <v>2</v>
      </c>
      <c r="C11" s="5">
        <v>3</v>
      </c>
      <c r="D11" s="5">
        <v>4</v>
      </c>
      <c r="E11" s="5">
        <v>5</v>
      </c>
      <c r="F11" s="7">
        <v>6</v>
      </c>
      <c r="G11" s="5">
        <v>7</v>
      </c>
      <c r="H11" s="104">
        <v>8</v>
      </c>
      <c r="I11" s="5">
        <v>9</v>
      </c>
      <c r="J11" s="5">
        <v>10</v>
      </c>
    </row>
    <row r="12" spans="1:10" ht="12.75">
      <c r="A12" s="8">
        <v>1</v>
      </c>
      <c r="B12" s="19" t="s">
        <v>476</v>
      </c>
      <c r="C12" s="19"/>
      <c r="D12" s="19"/>
      <c r="E12" s="19"/>
      <c r="F12" s="106"/>
      <c r="G12" s="19"/>
      <c r="H12" s="26"/>
      <c r="I12" s="26"/>
      <c r="J12" s="26"/>
    </row>
    <row r="13" spans="1:10" ht="12.75">
      <c r="A13" s="8">
        <v>2</v>
      </c>
      <c r="B13" s="19" t="s">
        <v>477</v>
      </c>
      <c r="C13" s="19"/>
      <c r="D13" s="19"/>
      <c r="E13" s="19"/>
      <c r="F13" s="25"/>
      <c r="G13" s="19"/>
      <c r="H13" s="26"/>
      <c r="I13" s="26"/>
      <c r="J13" s="26"/>
    </row>
    <row r="14" spans="1:10" ht="12.75">
      <c r="A14" s="8">
        <v>3</v>
      </c>
      <c r="B14" s="19" t="s">
        <v>478</v>
      </c>
      <c r="C14" s="19"/>
      <c r="D14" s="19"/>
      <c r="E14" s="766" t="s">
        <v>510</v>
      </c>
      <c r="F14" s="767"/>
      <c r="G14" s="767"/>
      <c r="H14" s="768"/>
      <c r="I14" s="26"/>
      <c r="J14" s="26"/>
    </row>
    <row r="15" spans="1:10" ht="12.75">
      <c r="A15" s="8">
        <v>4</v>
      </c>
      <c r="B15" s="19" t="s">
        <v>479</v>
      </c>
      <c r="C15" s="19"/>
      <c r="D15" s="19"/>
      <c r="E15" s="769"/>
      <c r="F15" s="770"/>
      <c r="G15" s="770"/>
      <c r="H15" s="771"/>
      <c r="I15" s="26"/>
      <c r="J15" s="26"/>
    </row>
    <row r="16" spans="1:10" ht="12.75">
      <c r="A16" s="8">
        <v>5</v>
      </c>
      <c r="B16" s="19" t="s">
        <v>480</v>
      </c>
      <c r="C16" s="19"/>
      <c r="D16" s="19"/>
      <c r="E16" s="19"/>
      <c r="F16" s="25"/>
      <c r="G16" s="19"/>
      <c r="H16" s="26"/>
      <c r="I16" s="26"/>
      <c r="J16" s="26"/>
    </row>
    <row r="17" spans="1:10" ht="12.75">
      <c r="A17" s="8">
        <v>6</v>
      </c>
      <c r="B17" s="19" t="s">
        <v>481</v>
      </c>
      <c r="C17" s="19"/>
      <c r="D17" s="19"/>
      <c r="E17" s="19"/>
      <c r="F17" s="25"/>
      <c r="G17" s="19"/>
      <c r="H17" s="26"/>
      <c r="I17" s="26"/>
      <c r="J17" s="26"/>
    </row>
    <row r="18" spans="1:10" ht="12.75">
      <c r="A18" s="8">
        <v>7</v>
      </c>
      <c r="B18" s="19" t="s">
        <v>482</v>
      </c>
      <c r="C18" s="19"/>
      <c r="D18" s="19"/>
      <c r="E18" s="19"/>
      <c r="F18" s="25"/>
      <c r="G18" s="19"/>
      <c r="H18" s="26"/>
      <c r="I18" s="26"/>
      <c r="J18" s="26"/>
    </row>
    <row r="19" spans="1:10" ht="12.75">
      <c r="A19" s="8">
        <v>8</v>
      </c>
      <c r="B19" s="19" t="s">
        <v>483</v>
      </c>
      <c r="C19" s="19"/>
      <c r="D19" s="19"/>
      <c r="E19" s="19"/>
      <c r="F19" s="25"/>
      <c r="G19" s="19"/>
      <c r="H19" s="26"/>
      <c r="I19" s="26"/>
      <c r="J19" s="26"/>
    </row>
    <row r="20" spans="1:10" ht="12.75">
      <c r="A20" s="3"/>
      <c r="B20" s="27" t="s">
        <v>484</v>
      </c>
      <c r="C20" s="19"/>
      <c r="D20" s="19"/>
      <c r="E20" s="19"/>
      <c r="F20" s="25"/>
      <c r="G20" s="19"/>
      <c r="H20" s="26"/>
      <c r="I20" s="26"/>
      <c r="J20" s="26"/>
    </row>
    <row r="21" spans="1:10" ht="12.75">
      <c r="A21" s="12"/>
      <c r="B21" s="28"/>
      <c r="C21" s="28"/>
      <c r="D21" s="21"/>
      <c r="E21" s="21"/>
      <c r="F21" s="21"/>
      <c r="G21" s="21"/>
      <c r="H21" s="21"/>
      <c r="I21" s="21"/>
      <c r="J21" s="21"/>
    </row>
    <row r="22" spans="1:10" ht="12.75">
      <c r="A22" s="230" t="s">
        <v>996</v>
      </c>
      <c r="B22" s="230"/>
      <c r="C22" s="230"/>
      <c r="D22" s="230"/>
      <c r="E22" s="230"/>
      <c r="F22" s="230"/>
      <c r="G22" s="230"/>
      <c r="H22" s="24"/>
      <c r="I22" s="24" t="s">
        <v>10</v>
      </c>
      <c r="J22" s="21"/>
    </row>
    <row r="23" spans="1:10" ht="12.75">
      <c r="A23" s="12"/>
      <c r="B23" s="28"/>
      <c r="C23" s="28"/>
      <c r="D23" s="21"/>
      <c r="E23" s="21"/>
      <c r="F23" s="21"/>
      <c r="G23" s="21"/>
      <c r="H23" s="21"/>
      <c r="I23" s="21"/>
      <c r="J23" s="21"/>
    </row>
    <row r="24" spans="1:10" ht="15.75" customHeight="1">
      <c r="A24" s="15" t="s">
        <v>11</v>
      </c>
      <c r="B24" s="15"/>
      <c r="C24" s="15"/>
      <c r="D24" s="15"/>
      <c r="E24" s="15"/>
      <c r="F24" s="15"/>
      <c r="G24" s="15"/>
      <c r="I24" s="756"/>
      <c r="J24" s="756"/>
    </row>
    <row r="25" spans="2:10" ht="12.75" customHeight="1">
      <c r="B25" s="86"/>
      <c r="C25" s="86"/>
      <c r="D25" s="86"/>
      <c r="E25" s="86"/>
      <c r="F25" s="86"/>
      <c r="G25" s="86"/>
      <c r="H25" s="33"/>
      <c r="I25" s="756" t="s">
        <v>819</v>
      </c>
      <c r="J25" s="756"/>
    </row>
    <row r="26" spans="2:10" ht="12.75" customHeight="1">
      <c r="B26" s="86"/>
      <c r="C26" s="86"/>
      <c r="D26" s="86"/>
      <c r="E26" s="86"/>
      <c r="F26" s="86"/>
      <c r="G26" s="86"/>
      <c r="H26" s="33"/>
      <c r="I26" s="756" t="s">
        <v>488</v>
      </c>
      <c r="J26" s="756"/>
    </row>
    <row r="27" spans="1:10" ht="12.75">
      <c r="A27" s="15"/>
      <c r="B27" s="15"/>
      <c r="C27" s="15"/>
      <c r="E27" s="15"/>
      <c r="H27" s="772" t="s">
        <v>494</v>
      </c>
      <c r="I27" s="772"/>
      <c r="J27" s="772"/>
    </row>
    <row r="31" spans="1:10" ht="12.75">
      <c r="A31" s="759"/>
      <c r="B31" s="759"/>
      <c r="C31" s="759"/>
      <c r="D31" s="759"/>
      <c r="E31" s="759"/>
      <c r="F31" s="759"/>
      <c r="G31" s="759"/>
      <c r="H31" s="759"/>
      <c r="I31" s="759"/>
      <c r="J31" s="759"/>
    </row>
    <row r="33" spans="1:10" ht="12.75">
      <c r="A33" s="759"/>
      <c r="B33" s="759"/>
      <c r="C33" s="759"/>
      <c r="D33" s="759"/>
      <c r="E33" s="759"/>
      <c r="F33" s="759"/>
      <c r="G33" s="759"/>
      <c r="H33" s="759"/>
      <c r="I33" s="759"/>
      <c r="J33" s="759"/>
    </row>
  </sheetData>
  <sheetProtection/>
  <mergeCells count="17">
    <mergeCell ref="A33:J33"/>
    <mergeCell ref="H8:J8"/>
    <mergeCell ref="I24:J24"/>
    <mergeCell ref="I26:J26"/>
    <mergeCell ref="H27:J27"/>
    <mergeCell ref="A31:J31"/>
    <mergeCell ref="E14:H15"/>
    <mergeCell ref="A9:A10"/>
    <mergeCell ref="B9:B10"/>
    <mergeCell ref="I25:J25"/>
    <mergeCell ref="C9:F9"/>
    <mergeCell ref="G9:J9"/>
    <mergeCell ref="E1:I1"/>
    <mergeCell ref="A2:J2"/>
    <mergeCell ref="A3:J3"/>
    <mergeCell ref="A5:J5"/>
    <mergeCell ref="A8:B8"/>
  </mergeCells>
  <printOptions horizontalCentered="1"/>
  <pageMargins left="0.51" right="0.28" top="1.04" bottom="0"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R33"/>
  <sheetViews>
    <sheetView view="pageBreakPreview" zoomScaleSheetLayoutView="100" zoomScalePageLayoutView="0" workbookViewId="0" topLeftCell="A1">
      <selection activeCell="B9" sqref="B9:B10"/>
    </sheetView>
  </sheetViews>
  <sheetFormatPr defaultColWidth="9.140625" defaultRowHeight="12.75"/>
  <cols>
    <col min="1" max="1" width="5.28125" style="16" customWidth="1"/>
    <col min="2" max="2" width="10.8515625" style="16" customWidth="1"/>
    <col min="3" max="3" width="10.57421875" style="16" customWidth="1"/>
    <col min="4" max="4" width="12.140625" style="16" customWidth="1"/>
    <col min="5" max="5" width="8.7109375" style="16" customWidth="1"/>
    <col min="6" max="6" width="11.7109375" style="16" customWidth="1"/>
    <col min="7" max="7" width="15.140625" style="16" customWidth="1"/>
    <col min="8" max="8" width="12.421875" style="16" customWidth="1"/>
    <col min="9" max="9" width="12.140625" style="16" customWidth="1"/>
    <col min="10" max="10" width="9.00390625" style="16" customWidth="1"/>
    <col min="11" max="11" width="12.00390625" style="16" customWidth="1"/>
    <col min="12" max="12" width="14.140625" style="16" customWidth="1"/>
    <col min="13" max="16384" width="9.140625" style="16" customWidth="1"/>
  </cols>
  <sheetData>
    <row r="1" spans="4:15" ht="15">
      <c r="D1" s="31"/>
      <c r="E1" s="31"/>
      <c r="F1" s="31"/>
      <c r="G1" s="31"/>
      <c r="H1" s="31"/>
      <c r="I1" s="31"/>
      <c r="J1" s="31"/>
      <c r="K1" s="31"/>
      <c r="L1" s="49" t="s">
        <v>59</v>
      </c>
      <c r="M1" s="392"/>
      <c r="N1" s="44"/>
      <c r="O1" s="44"/>
    </row>
    <row r="2" spans="1:15" ht="15">
      <c r="A2" s="751" t="s">
        <v>0</v>
      </c>
      <c r="B2" s="751"/>
      <c r="C2" s="751"/>
      <c r="D2" s="751"/>
      <c r="E2" s="751"/>
      <c r="F2" s="751"/>
      <c r="G2" s="751"/>
      <c r="H2" s="751"/>
      <c r="I2" s="751"/>
      <c r="J2" s="751"/>
      <c r="K2" s="751"/>
      <c r="L2" s="751"/>
      <c r="M2" s="46"/>
      <c r="N2" s="46"/>
      <c r="O2" s="46"/>
    </row>
    <row r="3" spans="1:15" ht="20.25">
      <c r="A3" s="645" t="s">
        <v>854</v>
      </c>
      <c r="B3" s="645"/>
      <c r="C3" s="645"/>
      <c r="D3" s="645"/>
      <c r="E3" s="645"/>
      <c r="F3" s="645"/>
      <c r="G3" s="645"/>
      <c r="H3" s="645"/>
      <c r="I3" s="645"/>
      <c r="J3" s="645"/>
      <c r="K3" s="645"/>
      <c r="L3" s="645"/>
      <c r="M3" s="45"/>
      <c r="N3" s="45"/>
      <c r="O3" s="45"/>
    </row>
    <row r="4" ht="10.5" customHeight="1"/>
    <row r="5" spans="1:12" ht="19.5" customHeight="1">
      <c r="A5" s="752" t="s">
        <v>999</v>
      </c>
      <c r="B5" s="752"/>
      <c r="C5" s="752"/>
      <c r="D5" s="752"/>
      <c r="E5" s="752"/>
      <c r="F5" s="752"/>
      <c r="G5" s="752"/>
      <c r="H5" s="752"/>
      <c r="I5" s="752"/>
      <c r="J5" s="752"/>
      <c r="K5" s="752"/>
      <c r="L5" s="752"/>
    </row>
    <row r="6" spans="1:12" ht="12.75">
      <c r="A6" s="22"/>
      <c r="B6" s="22"/>
      <c r="C6" s="22"/>
      <c r="D6" s="22"/>
      <c r="E6" s="22"/>
      <c r="F6" s="22"/>
      <c r="G6" s="22"/>
      <c r="H6" s="22"/>
      <c r="I6" s="22"/>
      <c r="J6" s="22"/>
      <c r="K6" s="22"/>
      <c r="L6" s="22"/>
    </row>
    <row r="7" spans="1:12" ht="12.75">
      <c r="A7" s="699" t="s">
        <v>475</v>
      </c>
      <c r="B7" s="699"/>
      <c r="F7" s="773" t="s">
        <v>16</v>
      </c>
      <c r="G7" s="773"/>
      <c r="H7" s="773"/>
      <c r="I7" s="773"/>
      <c r="J7" s="773"/>
      <c r="K7" s="773"/>
      <c r="L7" s="773"/>
    </row>
    <row r="8" spans="1:12" ht="12.75">
      <c r="A8" s="15"/>
      <c r="F8" s="17"/>
      <c r="G8" s="103"/>
      <c r="H8" s="103"/>
      <c r="I8" s="742" t="s">
        <v>933</v>
      </c>
      <c r="J8" s="742"/>
      <c r="K8" s="742"/>
      <c r="L8" s="742"/>
    </row>
    <row r="9" spans="1:18" s="282" customFormat="1" ht="12.75">
      <c r="A9" s="653" t="s">
        <v>495</v>
      </c>
      <c r="B9" s="653" t="s">
        <v>3</v>
      </c>
      <c r="C9" s="683" t="s">
        <v>17</v>
      </c>
      <c r="D9" s="753"/>
      <c r="E9" s="753"/>
      <c r="F9" s="753"/>
      <c r="G9" s="753"/>
      <c r="H9" s="683" t="s">
        <v>39</v>
      </c>
      <c r="I9" s="753"/>
      <c r="J9" s="753"/>
      <c r="K9" s="753"/>
      <c r="L9" s="753"/>
      <c r="Q9" s="158"/>
      <c r="R9" s="283"/>
    </row>
    <row r="10" spans="1:12" s="282" customFormat="1" ht="63.75">
      <c r="A10" s="653"/>
      <c r="B10" s="653"/>
      <c r="C10" s="257" t="s">
        <v>910</v>
      </c>
      <c r="D10" s="257" t="s">
        <v>939</v>
      </c>
      <c r="E10" s="257" t="s">
        <v>66</v>
      </c>
      <c r="F10" s="257" t="s">
        <v>67</v>
      </c>
      <c r="G10" s="257" t="s">
        <v>365</v>
      </c>
      <c r="H10" s="257" t="s">
        <v>910</v>
      </c>
      <c r="I10" s="257" t="s">
        <v>939</v>
      </c>
      <c r="J10" s="257" t="s">
        <v>66</v>
      </c>
      <c r="K10" s="257" t="s">
        <v>67</v>
      </c>
      <c r="L10" s="257" t="s">
        <v>366</v>
      </c>
    </row>
    <row r="11" spans="1:12" s="15" customFormat="1" ht="12.75">
      <c r="A11" s="5">
        <v>1</v>
      </c>
      <c r="B11" s="5">
        <v>2</v>
      </c>
      <c r="C11" s="5">
        <v>3</v>
      </c>
      <c r="D11" s="5">
        <v>4</v>
      </c>
      <c r="E11" s="5">
        <v>5</v>
      </c>
      <c r="F11" s="5">
        <v>6</v>
      </c>
      <c r="G11" s="5">
        <v>7</v>
      </c>
      <c r="H11" s="5">
        <v>8</v>
      </c>
      <c r="I11" s="5">
        <v>9</v>
      </c>
      <c r="J11" s="5">
        <v>10</v>
      </c>
      <c r="K11" s="5">
        <v>11</v>
      </c>
      <c r="L11" s="5">
        <v>12</v>
      </c>
    </row>
    <row r="12" spans="1:17" ht="12.75">
      <c r="A12" s="8">
        <v>1</v>
      </c>
      <c r="B12" s="19" t="s">
        <v>476</v>
      </c>
      <c r="C12" s="323">
        <f>5375.68*'enrolment vs availed_PY'!G11/272412</f>
        <v>991.6745482577861</v>
      </c>
      <c r="D12" s="323">
        <f>245.412*C12/5375.68</f>
        <v>45.27219518963923</v>
      </c>
      <c r="E12" s="323">
        <f>4901.27*C12/5375.68</f>
        <v>904.1581182547026</v>
      </c>
      <c r="F12" s="323">
        <f>'T5_PLAN_vs_PRFM'!H12*0.0001</f>
        <v>867.8174</v>
      </c>
      <c r="G12" s="323">
        <f>(D12+E12)-F12</f>
        <v>81.61291344434176</v>
      </c>
      <c r="H12" s="403">
        <v>0</v>
      </c>
      <c r="I12" s="403">
        <v>0</v>
      </c>
      <c r="J12" s="403">
        <v>0</v>
      </c>
      <c r="K12" s="323">
        <v>0</v>
      </c>
      <c r="L12" s="323">
        <v>0</v>
      </c>
      <c r="M12" s="338"/>
      <c r="N12" s="429"/>
      <c r="O12" s="338"/>
      <c r="P12" s="338"/>
      <c r="Q12" s="338"/>
    </row>
    <row r="13" spans="1:17" ht="12.75">
      <c r="A13" s="8">
        <v>2</v>
      </c>
      <c r="B13" s="19" t="s">
        <v>477</v>
      </c>
      <c r="C13" s="323">
        <f>5375.68*'enrolment vs availed_PY'!G12/272412</f>
        <v>729.8880965596229</v>
      </c>
      <c r="D13" s="323">
        <f aca="true" t="shared" si="0" ref="D13:D19">245.412*C13/5375.68</f>
        <v>33.321049160829915</v>
      </c>
      <c r="E13" s="323">
        <f aca="true" t="shared" si="1" ref="E13:E19">4901.27*C13/5375.68</f>
        <v>665.4746247962645</v>
      </c>
      <c r="F13" s="323">
        <f>'T5_PLAN_vs_PRFM'!H13*0.0001</f>
        <v>638.7212000000001</v>
      </c>
      <c r="G13" s="323">
        <f aca="true" t="shared" si="2" ref="G13:G19">(D13+E13)-F13</f>
        <v>60.07447395709437</v>
      </c>
      <c r="H13" s="403">
        <v>0</v>
      </c>
      <c r="I13" s="403">
        <v>0</v>
      </c>
      <c r="J13" s="403">
        <v>0</v>
      </c>
      <c r="K13" s="323">
        <v>0</v>
      </c>
      <c r="L13" s="323">
        <v>0</v>
      </c>
      <c r="M13" s="338"/>
      <c r="N13" s="429"/>
      <c r="O13" s="338"/>
      <c r="P13" s="338"/>
      <c r="Q13" s="338"/>
    </row>
    <row r="14" spans="1:17" ht="12.75">
      <c r="A14" s="8">
        <v>3</v>
      </c>
      <c r="B14" s="19" t="s">
        <v>478</v>
      </c>
      <c r="C14" s="323">
        <f>5375.68*'enrolment vs availed_PY'!G13/272412</f>
        <v>427.35168083638024</v>
      </c>
      <c r="D14" s="323">
        <f t="shared" si="0"/>
        <v>19.509574732390647</v>
      </c>
      <c r="E14" s="323">
        <f t="shared" si="1"/>
        <v>389.6373989398412</v>
      </c>
      <c r="F14" s="323">
        <f>'T5_PLAN_vs_PRFM'!H14*0.0001</f>
        <v>373.9848</v>
      </c>
      <c r="G14" s="323">
        <f t="shared" si="2"/>
        <v>35.16217367223186</v>
      </c>
      <c r="H14" s="403">
        <v>0</v>
      </c>
      <c r="I14" s="403">
        <v>0</v>
      </c>
      <c r="J14" s="403">
        <v>0</v>
      </c>
      <c r="K14" s="323">
        <v>0</v>
      </c>
      <c r="L14" s="323">
        <v>0</v>
      </c>
      <c r="M14" s="338"/>
      <c r="N14" s="429"/>
      <c r="O14" s="338"/>
      <c r="P14" s="338"/>
      <c r="Q14" s="338"/>
    </row>
    <row r="15" spans="1:17" ht="12.75">
      <c r="A15" s="8">
        <v>4</v>
      </c>
      <c r="B15" s="19" t="s">
        <v>479</v>
      </c>
      <c r="C15" s="323">
        <f>5375.68*'enrolment vs availed_PY'!G14/272412</f>
        <v>614.7817817129935</v>
      </c>
      <c r="D15" s="323">
        <f t="shared" si="0"/>
        <v>28.066184485264966</v>
      </c>
      <c r="E15" s="323">
        <f t="shared" si="1"/>
        <v>560.5265758483473</v>
      </c>
      <c r="F15" s="323">
        <f>'T5_PLAN_vs_PRFM'!H15*0.0001</f>
        <v>538.0834</v>
      </c>
      <c r="G15" s="323">
        <f t="shared" si="2"/>
        <v>50.509360333612335</v>
      </c>
      <c r="H15" s="403">
        <v>0</v>
      </c>
      <c r="I15" s="403">
        <v>0</v>
      </c>
      <c r="J15" s="403">
        <v>0</v>
      </c>
      <c r="K15" s="323">
        <v>0</v>
      </c>
      <c r="L15" s="323">
        <v>0</v>
      </c>
      <c r="M15" s="338"/>
      <c r="N15" s="429"/>
      <c r="O15" s="338"/>
      <c r="P15" s="338"/>
      <c r="Q15" s="338"/>
    </row>
    <row r="16" spans="1:17" ht="12.75">
      <c r="A16" s="8">
        <v>5</v>
      </c>
      <c r="B16" s="19" t="s">
        <v>480</v>
      </c>
      <c r="C16" s="323">
        <f>5375.68*'enrolment vs availed_PY'!G15/272412</f>
        <v>628.4571933688678</v>
      </c>
      <c r="D16" s="323">
        <f t="shared" si="0"/>
        <v>28.69049808378486</v>
      </c>
      <c r="E16" s="323">
        <f t="shared" si="1"/>
        <v>572.9951165514002</v>
      </c>
      <c r="F16" s="323">
        <f>'T5_PLAN_vs_PRFM'!H16*0.0001</f>
        <v>549.971</v>
      </c>
      <c r="G16" s="323">
        <f t="shared" si="2"/>
        <v>51.71461463518506</v>
      </c>
      <c r="H16" s="403">
        <v>0</v>
      </c>
      <c r="I16" s="403">
        <v>0</v>
      </c>
      <c r="J16" s="403">
        <v>0</v>
      </c>
      <c r="K16" s="323">
        <v>0</v>
      </c>
      <c r="L16" s="323">
        <v>0</v>
      </c>
      <c r="M16" s="338"/>
      <c r="N16" s="429"/>
      <c r="O16" s="338"/>
      <c r="P16" s="338"/>
      <c r="Q16" s="338"/>
    </row>
    <row r="17" spans="1:17" ht="12.75">
      <c r="A17" s="8">
        <v>6</v>
      </c>
      <c r="B17" s="19" t="s">
        <v>481</v>
      </c>
      <c r="C17" s="323">
        <f>5375.68*'enrolment vs availed_PY'!G16/272412</f>
        <v>494.24871620927127</v>
      </c>
      <c r="D17" s="323">
        <f t="shared" si="0"/>
        <v>22.563576318223866</v>
      </c>
      <c r="E17" s="323">
        <f t="shared" si="1"/>
        <v>450.63069328810775</v>
      </c>
      <c r="F17" s="323">
        <f>'T5_PLAN_vs_PRFM'!H17*0.0001</f>
        <v>432.49620000000004</v>
      </c>
      <c r="G17" s="323">
        <f t="shared" si="2"/>
        <v>40.69806960633156</v>
      </c>
      <c r="H17" s="403">
        <v>0</v>
      </c>
      <c r="I17" s="403">
        <v>0</v>
      </c>
      <c r="J17" s="403">
        <v>0</v>
      </c>
      <c r="K17" s="323">
        <v>0</v>
      </c>
      <c r="L17" s="323">
        <v>0</v>
      </c>
      <c r="M17" s="338"/>
      <c r="N17" s="429"/>
      <c r="O17" s="338"/>
      <c r="P17" s="338"/>
      <c r="Q17" s="338"/>
    </row>
    <row r="18" spans="1:17" ht="12.75">
      <c r="A18" s="8">
        <v>7</v>
      </c>
      <c r="B18" s="19" t="s">
        <v>482</v>
      </c>
      <c r="C18" s="323">
        <f>5375.68*'enrolment vs availed_PY'!G17/272412</f>
        <v>771.9799480199111</v>
      </c>
      <c r="D18" s="323">
        <f t="shared" si="0"/>
        <v>35.24263776926127</v>
      </c>
      <c r="E18" s="323">
        <f t="shared" si="1"/>
        <v>703.8518215056607</v>
      </c>
      <c r="F18" s="323">
        <f>'T5_PLAN_vs_PRFM'!H18*0.0001</f>
        <v>675.5592</v>
      </c>
      <c r="G18" s="323">
        <f t="shared" si="2"/>
        <v>63.53525927492194</v>
      </c>
      <c r="H18" s="403">
        <v>0</v>
      </c>
      <c r="I18" s="403">
        <v>0</v>
      </c>
      <c r="J18" s="403">
        <v>0</v>
      </c>
      <c r="K18" s="323">
        <v>0</v>
      </c>
      <c r="L18" s="323">
        <v>0</v>
      </c>
      <c r="M18" s="338"/>
      <c r="N18" s="429"/>
      <c r="O18" s="338"/>
      <c r="P18" s="338"/>
      <c r="Q18" s="338"/>
    </row>
    <row r="19" spans="1:17" ht="12.75">
      <c r="A19" s="8">
        <v>8</v>
      </c>
      <c r="B19" s="19" t="s">
        <v>483</v>
      </c>
      <c r="C19" s="323">
        <f>5375.68*'enrolment vs availed_PY'!G18/272412</f>
        <v>717.2980350351675</v>
      </c>
      <c r="D19" s="323">
        <f t="shared" si="0"/>
        <v>32.746284260605265</v>
      </c>
      <c r="E19" s="323">
        <f t="shared" si="1"/>
        <v>653.9956508156764</v>
      </c>
      <c r="F19" s="323">
        <f>'T5_PLAN_vs_PRFM'!H19*0.0001</f>
        <v>627.715</v>
      </c>
      <c r="G19" s="323">
        <f t="shared" si="2"/>
        <v>59.02693507628169</v>
      </c>
      <c r="H19" s="403">
        <v>0</v>
      </c>
      <c r="I19" s="403">
        <v>0</v>
      </c>
      <c r="J19" s="403">
        <v>0</v>
      </c>
      <c r="K19" s="323">
        <v>0</v>
      </c>
      <c r="L19" s="323">
        <v>0</v>
      </c>
      <c r="M19" s="338"/>
      <c r="N19" s="429"/>
      <c r="O19" s="338"/>
      <c r="P19" s="338"/>
      <c r="Q19" s="338"/>
    </row>
    <row r="20" spans="1:17" ht="12.75">
      <c r="A20" s="3"/>
      <c r="B20" s="27" t="s">
        <v>484</v>
      </c>
      <c r="C20" s="569">
        <f>SUM(C12:C19)</f>
        <v>5375.679999999999</v>
      </c>
      <c r="D20" s="569">
        <f aca="true" t="shared" si="3" ref="D20:L20">SUM(D12:D19)</f>
        <v>245.41200000000003</v>
      </c>
      <c r="E20" s="323">
        <f t="shared" si="3"/>
        <v>4901.270000000001</v>
      </c>
      <c r="F20" s="323">
        <f t="shared" si="3"/>
        <v>4704.3482</v>
      </c>
      <c r="G20" s="323">
        <f t="shared" si="3"/>
        <v>442.33380000000056</v>
      </c>
      <c r="H20" s="323">
        <f t="shared" si="3"/>
        <v>0</v>
      </c>
      <c r="I20" s="323">
        <f t="shared" si="3"/>
        <v>0</v>
      </c>
      <c r="J20" s="323">
        <f t="shared" si="3"/>
        <v>0</v>
      </c>
      <c r="K20" s="323">
        <f t="shared" si="3"/>
        <v>0</v>
      </c>
      <c r="L20" s="323">
        <f t="shared" si="3"/>
        <v>0</v>
      </c>
      <c r="M20" s="338"/>
      <c r="N20" s="429"/>
      <c r="O20" s="338"/>
      <c r="P20" s="338"/>
      <c r="Q20" s="338"/>
    </row>
    <row r="21" spans="1:12" ht="12.75">
      <c r="A21" s="21"/>
      <c r="B21" s="21"/>
      <c r="C21" s="604"/>
      <c r="D21" s="604"/>
      <c r="E21" s="604"/>
      <c r="F21" s="604"/>
      <c r="G21" s="604"/>
      <c r="H21" s="21"/>
      <c r="I21" s="21"/>
      <c r="J21" s="21"/>
      <c r="K21" s="21"/>
      <c r="L21" s="21"/>
    </row>
    <row r="22" spans="1:12" ht="12.75">
      <c r="A22" s="20" t="s">
        <v>367</v>
      </c>
      <c r="B22" s="21"/>
      <c r="C22" s="21"/>
      <c r="D22" s="21"/>
      <c r="E22" s="21"/>
      <c r="F22" s="21"/>
      <c r="G22" s="21"/>
      <c r="H22" s="21"/>
      <c r="I22" s="21"/>
      <c r="J22" s="21"/>
      <c r="K22" s="21" t="s">
        <v>10</v>
      </c>
      <c r="L22" s="21"/>
    </row>
    <row r="23" spans="1:12" ht="15.75" customHeight="1">
      <c r="A23" s="448"/>
      <c r="B23" s="774"/>
      <c r="C23" s="774"/>
      <c r="D23" s="774"/>
      <c r="E23" s="774"/>
      <c r="F23" s="774"/>
      <c r="G23" s="774"/>
      <c r="H23" s="774"/>
      <c r="I23" s="774"/>
      <c r="J23" s="774"/>
      <c r="K23" s="15" t="s">
        <v>10</v>
      </c>
      <c r="L23" s="15" t="s">
        <v>10</v>
      </c>
    </row>
    <row r="24" spans="1:12" ht="15.75" customHeight="1">
      <c r="A24" s="448"/>
      <c r="B24" s="485"/>
      <c r="C24" s="487"/>
      <c r="D24" s="487"/>
      <c r="E24" s="487"/>
      <c r="F24" s="485"/>
      <c r="G24" s="485"/>
      <c r="H24" s="485"/>
      <c r="I24" s="470"/>
      <c r="J24" s="470"/>
      <c r="K24" s="15"/>
      <c r="L24" s="15"/>
    </row>
    <row r="25" spans="3:12" ht="12.75">
      <c r="C25" s="487"/>
      <c r="D25" s="487"/>
      <c r="E25" s="487"/>
      <c r="I25" s="86" t="s">
        <v>10</v>
      </c>
      <c r="J25" s="667"/>
      <c r="K25" s="667"/>
      <c r="L25" s="667"/>
    </row>
    <row r="26" spans="2:12" ht="12.75" customHeight="1">
      <c r="B26" s="86"/>
      <c r="C26" s="487"/>
      <c r="D26" s="487"/>
      <c r="E26" s="487"/>
      <c r="F26" s="86"/>
      <c r="G26" s="86"/>
      <c r="H26" s="86"/>
      <c r="I26" s="86"/>
      <c r="J26" s="775" t="s">
        <v>819</v>
      </c>
      <c r="K26" s="775"/>
      <c r="L26" s="775"/>
    </row>
    <row r="27" spans="2:12" ht="12.75" customHeight="1">
      <c r="B27" s="86"/>
      <c r="C27" s="487"/>
      <c r="D27" s="487"/>
      <c r="E27" s="487"/>
      <c r="F27" s="86"/>
      <c r="G27" s="86"/>
      <c r="H27" s="86"/>
      <c r="I27" s="86"/>
      <c r="J27" s="667" t="s">
        <v>488</v>
      </c>
      <c r="K27" s="667"/>
      <c r="L27" s="667"/>
    </row>
    <row r="28" spans="1:12" ht="12.75">
      <c r="A28" s="15" t="s">
        <v>18</v>
      </c>
      <c r="B28" s="15"/>
      <c r="C28" s="487"/>
      <c r="D28" s="487"/>
      <c r="E28" s="487"/>
      <c r="F28" s="15"/>
      <c r="J28" s="699" t="s">
        <v>80</v>
      </c>
      <c r="K28" s="699"/>
      <c r="L28" s="699"/>
    </row>
    <row r="29" spans="1:5" ht="12.75">
      <c r="A29" s="15"/>
      <c r="C29" s="487"/>
      <c r="D29" s="487"/>
      <c r="E29" s="487"/>
    </row>
    <row r="30" spans="1:12" ht="12.75">
      <c r="A30" s="445"/>
      <c r="B30" s="445"/>
      <c r="C30" s="487"/>
      <c r="D30" s="487"/>
      <c r="E30" s="487"/>
      <c r="F30" s="445"/>
      <c r="G30" s="445"/>
      <c r="H30" s="445"/>
      <c r="I30" s="445"/>
      <c r="J30" s="445"/>
      <c r="K30" s="445"/>
      <c r="L30" s="445"/>
    </row>
    <row r="31" spans="3:5" ht="12.75">
      <c r="C31" s="487"/>
      <c r="D31" s="487"/>
      <c r="E31" s="487"/>
    </row>
    <row r="32" spans="3:5" ht="12.75">
      <c r="C32" s="487"/>
      <c r="D32" s="487"/>
      <c r="E32" s="487"/>
    </row>
    <row r="33" ht="12.75">
      <c r="C33" s="486"/>
    </row>
  </sheetData>
  <sheetProtection/>
  <mergeCells count="15">
    <mergeCell ref="J28:L28"/>
    <mergeCell ref="C9:G9"/>
    <mergeCell ref="H9:L9"/>
    <mergeCell ref="I8:L8"/>
    <mergeCell ref="B23:J23"/>
    <mergeCell ref="J25:L25"/>
    <mergeCell ref="J26:L26"/>
    <mergeCell ref="J27:L27"/>
    <mergeCell ref="A9:A10"/>
    <mergeCell ref="B9:B10"/>
    <mergeCell ref="A3:L3"/>
    <mergeCell ref="A2:L2"/>
    <mergeCell ref="A5:L5"/>
    <mergeCell ref="A7:B7"/>
    <mergeCell ref="F7:L7"/>
  </mergeCells>
  <printOptions horizontalCentered="1"/>
  <pageMargins left="0.7086614173228347" right="0.21" top="1.3" bottom="0" header="0.8" footer="0.31496062992125984"/>
  <pageSetup fitToHeight="1" fitToWidth="1" horizontalDpi="600" verticalDpi="600" orientation="landscape" paperSize="9" r:id="rId1"/>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9.140625" defaultRowHeight="12.75"/>
  <cols>
    <col min="1" max="1" width="7.00390625" style="0" customWidth="1"/>
    <col min="2" max="2" width="10.8515625" style="0" customWidth="1"/>
    <col min="3" max="3" width="98.28125" style="0" customWidth="1"/>
    <col min="4" max="4" width="3.28125" style="0" hidden="1" customWidth="1"/>
  </cols>
  <sheetData>
    <row r="1" spans="1:7" ht="21.75" customHeight="1">
      <c r="A1" s="642" t="s">
        <v>560</v>
      </c>
      <c r="B1" s="642"/>
      <c r="C1" s="642"/>
      <c r="D1" s="642"/>
      <c r="E1" s="417"/>
      <c r="F1" s="417"/>
      <c r="G1" s="417"/>
    </row>
    <row r="2" spans="1:3" ht="12.75">
      <c r="A2" s="3" t="s">
        <v>70</v>
      </c>
      <c r="B2" s="3" t="s">
        <v>561</v>
      </c>
      <c r="C2" s="3" t="s">
        <v>562</v>
      </c>
    </row>
    <row r="3" spans="1:3" ht="12.75">
      <c r="A3" s="8">
        <v>1</v>
      </c>
      <c r="B3" s="418" t="s">
        <v>563</v>
      </c>
      <c r="C3" s="418" t="s">
        <v>822</v>
      </c>
    </row>
    <row r="4" spans="1:3" ht="12.75">
      <c r="A4" s="8">
        <v>2</v>
      </c>
      <c r="B4" s="418" t="s">
        <v>564</v>
      </c>
      <c r="C4" s="418" t="s">
        <v>823</v>
      </c>
    </row>
    <row r="5" spans="1:3" ht="12.75">
      <c r="A5" s="8">
        <v>3</v>
      </c>
      <c r="B5" s="418" t="s">
        <v>690</v>
      </c>
      <c r="C5" s="418" t="s">
        <v>871</v>
      </c>
    </row>
    <row r="6" spans="1:3" ht="12.75">
      <c r="A6" s="8">
        <v>4</v>
      </c>
      <c r="B6" s="418" t="s">
        <v>565</v>
      </c>
      <c r="C6" s="418" t="s">
        <v>824</v>
      </c>
    </row>
    <row r="7" spans="1:3" ht="12.75">
      <c r="A7" s="8">
        <v>5</v>
      </c>
      <c r="B7" s="418" t="s">
        <v>566</v>
      </c>
      <c r="C7" s="418" t="s">
        <v>825</v>
      </c>
    </row>
    <row r="8" spans="1:3" ht="12.75">
      <c r="A8" s="8">
        <v>6</v>
      </c>
      <c r="B8" s="418" t="s">
        <v>567</v>
      </c>
      <c r="C8" s="418" t="s">
        <v>826</v>
      </c>
    </row>
    <row r="9" spans="1:3" ht="12.75">
      <c r="A9" s="8">
        <v>7</v>
      </c>
      <c r="B9" s="418" t="s">
        <v>568</v>
      </c>
      <c r="C9" s="418" t="s">
        <v>827</v>
      </c>
    </row>
    <row r="10" spans="1:3" ht="12.75">
      <c r="A10" s="8">
        <v>8</v>
      </c>
      <c r="B10" s="418" t="s">
        <v>569</v>
      </c>
      <c r="C10" s="418" t="s">
        <v>828</v>
      </c>
    </row>
    <row r="11" spans="1:3" ht="12.75">
      <c r="A11" s="8">
        <v>9</v>
      </c>
      <c r="B11" s="418" t="s">
        <v>570</v>
      </c>
      <c r="C11" s="418" t="s">
        <v>872</v>
      </c>
    </row>
    <row r="12" spans="1:3" ht="12.75">
      <c r="A12" s="8">
        <v>10</v>
      </c>
      <c r="B12" s="418" t="s">
        <v>763</v>
      </c>
      <c r="C12" s="418" t="s">
        <v>764</v>
      </c>
    </row>
    <row r="13" spans="1:3" ht="12.75">
      <c r="A13" s="8">
        <v>11</v>
      </c>
      <c r="B13" s="418" t="s">
        <v>571</v>
      </c>
      <c r="C13" s="418" t="s">
        <v>829</v>
      </c>
    </row>
    <row r="14" spans="1:3" ht="12.75">
      <c r="A14" s="8">
        <v>12</v>
      </c>
      <c r="B14" s="418" t="s">
        <v>572</v>
      </c>
      <c r="C14" s="418" t="s">
        <v>830</v>
      </c>
    </row>
    <row r="15" spans="1:3" ht="12.75">
      <c r="A15" s="8">
        <v>13</v>
      </c>
      <c r="B15" s="418" t="s">
        <v>573</v>
      </c>
      <c r="C15" s="418" t="s">
        <v>831</v>
      </c>
    </row>
    <row r="16" spans="1:3" ht="12.75">
      <c r="A16" s="8">
        <v>14</v>
      </c>
      <c r="B16" s="418" t="s">
        <v>574</v>
      </c>
      <c r="C16" s="418" t="s">
        <v>832</v>
      </c>
    </row>
    <row r="17" spans="1:3" ht="12.75">
      <c r="A17" s="8">
        <v>15</v>
      </c>
      <c r="B17" s="418" t="s">
        <v>575</v>
      </c>
      <c r="C17" s="418" t="s">
        <v>833</v>
      </c>
    </row>
    <row r="18" spans="1:3" ht="12.75">
      <c r="A18" s="8">
        <v>16</v>
      </c>
      <c r="B18" s="418" t="s">
        <v>576</v>
      </c>
      <c r="C18" s="418" t="s">
        <v>834</v>
      </c>
    </row>
    <row r="19" spans="1:3" ht="12.75">
      <c r="A19" s="8">
        <v>17</v>
      </c>
      <c r="B19" s="418" t="s">
        <v>577</v>
      </c>
      <c r="C19" s="418" t="s">
        <v>835</v>
      </c>
    </row>
    <row r="20" spans="1:3" ht="12.75">
      <c r="A20" s="8">
        <v>18</v>
      </c>
      <c r="B20" s="418" t="s">
        <v>578</v>
      </c>
      <c r="C20" s="418" t="s">
        <v>836</v>
      </c>
    </row>
    <row r="21" spans="1:3" ht="12.75">
      <c r="A21" s="8">
        <v>19</v>
      </c>
      <c r="B21" s="418" t="s">
        <v>579</v>
      </c>
      <c r="C21" s="418" t="s">
        <v>837</v>
      </c>
    </row>
    <row r="22" spans="1:3" ht="12.75">
      <c r="A22" s="8">
        <v>20</v>
      </c>
      <c r="B22" s="418" t="s">
        <v>580</v>
      </c>
      <c r="C22" s="418" t="s">
        <v>838</v>
      </c>
    </row>
    <row r="23" spans="1:3" ht="12.75">
      <c r="A23" s="8">
        <v>21</v>
      </c>
      <c r="B23" s="418" t="s">
        <v>581</v>
      </c>
      <c r="C23" s="418" t="s">
        <v>873</v>
      </c>
    </row>
    <row r="24" spans="1:3" ht="12.75">
      <c r="A24" s="8">
        <v>22</v>
      </c>
      <c r="B24" s="418" t="s">
        <v>582</v>
      </c>
      <c r="C24" s="418" t="s">
        <v>874</v>
      </c>
    </row>
    <row r="25" spans="1:3" ht="12.75">
      <c r="A25" s="8">
        <v>23</v>
      </c>
      <c r="B25" s="418" t="s">
        <v>583</v>
      </c>
      <c r="C25" s="418" t="s">
        <v>875</v>
      </c>
    </row>
    <row r="26" spans="1:3" ht="12.75">
      <c r="A26" s="8">
        <v>24</v>
      </c>
      <c r="B26" s="418" t="s">
        <v>584</v>
      </c>
      <c r="C26" s="418" t="s">
        <v>839</v>
      </c>
    </row>
    <row r="27" spans="1:3" ht="12.75">
      <c r="A27" s="8">
        <v>25</v>
      </c>
      <c r="B27" s="418" t="s">
        <v>585</v>
      </c>
      <c r="C27" s="418" t="s">
        <v>840</v>
      </c>
    </row>
    <row r="28" spans="1:3" ht="12.75">
      <c r="A28" s="8">
        <v>26</v>
      </c>
      <c r="B28" s="418" t="s">
        <v>586</v>
      </c>
      <c r="C28" s="418" t="s">
        <v>841</v>
      </c>
    </row>
    <row r="29" spans="1:3" ht="12.75">
      <c r="A29" s="8">
        <v>27</v>
      </c>
      <c r="B29" s="418" t="s">
        <v>691</v>
      </c>
      <c r="C29" s="418" t="s">
        <v>692</v>
      </c>
    </row>
    <row r="30" spans="1:3" ht="12.75">
      <c r="A30" s="8">
        <v>28</v>
      </c>
      <c r="B30" s="418" t="s">
        <v>693</v>
      </c>
      <c r="C30" s="418" t="s">
        <v>623</v>
      </c>
    </row>
    <row r="31" spans="1:3" ht="12.75">
      <c r="A31" s="8">
        <v>29</v>
      </c>
      <c r="B31" s="418" t="s">
        <v>694</v>
      </c>
      <c r="C31" s="418" t="s">
        <v>611</v>
      </c>
    </row>
    <row r="32" spans="1:3" ht="12.75">
      <c r="A32" s="8">
        <v>30</v>
      </c>
      <c r="B32" s="418" t="s">
        <v>808</v>
      </c>
      <c r="C32" s="418" t="s">
        <v>765</v>
      </c>
    </row>
    <row r="33" spans="1:3" ht="12.75">
      <c r="A33" s="8">
        <v>31</v>
      </c>
      <c r="B33" s="558" t="s">
        <v>809</v>
      </c>
      <c r="C33" s="558" t="s">
        <v>846</v>
      </c>
    </row>
    <row r="34" spans="1:3" ht="12.75" customHeight="1">
      <c r="A34" s="8">
        <v>32</v>
      </c>
      <c r="B34" s="418" t="s">
        <v>587</v>
      </c>
      <c r="C34" s="418" t="s">
        <v>588</v>
      </c>
    </row>
    <row r="35" spans="1:3" ht="12.75">
      <c r="A35" s="8">
        <v>33</v>
      </c>
      <c r="B35" s="418" t="s">
        <v>589</v>
      </c>
      <c r="C35" s="418" t="s">
        <v>588</v>
      </c>
    </row>
    <row r="36" spans="1:3" ht="12.75">
      <c r="A36" s="8">
        <v>34</v>
      </c>
      <c r="B36" s="418" t="s">
        <v>590</v>
      </c>
      <c r="C36" s="418" t="s">
        <v>591</v>
      </c>
    </row>
    <row r="37" spans="1:3" ht="12.75">
      <c r="A37" s="8">
        <v>35</v>
      </c>
      <c r="B37" s="418" t="s">
        <v>592</v>
      </c>
      <c r="C37" s="418" t="s">
        <v>593</v>
      </c>
    </row>
    <row r="38" spans="1:3" ht="12.75">
      <c r="A38" s="8">
        <v>36</v>
      </c>
      <c r="B38" s="418" t="s">
        <v>594</v>
      </c>
      <c r="C38" s="418" t="s">
        <v>613</v>
      </c>
    </row>
    <row r="39" spans="1:3" ht="12.75">
      <c r="A39" s="8">
        <v>37</v>
      </c>
      <c r="B39" s="418" t="s">
        <v>595</v>
      </c>
      <c r="C39" s="418" t="s">
        <v>624</v>
      </c>
    </row>
    <row r="40" spans="1:3" ht="12.75">
      <c r="A40" s="8">
        <v>38</v>
      </c>
      <c r="B40" s="418" t="s">
        <v>596</v>
      </c>
      <c r="C40" s="418" t="s">
        <v>625</v>
      </c>
    </row>
    <row r="41" spans="1:3" ht="12.75">
      <c r="A41" s="8">
        <v>39</v>
      </c>
      <c r="B41" s="418" t="s">
        <v>597</v>
      </c>
      <c r="C41" s="418" t="s">
        <v>626</v>
      </c>
    </row>
    <row r="42" spans="1:3" ht="12.75">
      <c r="A42" s="8">
        <v>40</v>
      </c>
      <c r="B42" s="418" t="s">
        <v>598</v>
      </c>
      <c r="C42" s="418" t="s">
        <v>627</v>
      </c>
    </row>
    <row r="43" spans="1:3" ht="12.75">
      <c r="A43" s="8">
        <v>41</v>
      </c>
      <c r="B43" s="418" t="s">
        <v>599</v>
      </c>
      <c r="C43" s="418" t="s">
        <v>842</v>
      </c>
    </row>
    <row r="44" spans="1:3" ht="12.75">
      <c r="A44" s="8">
        <v>42</v>
      </c>
      <c r="B44" s="418" t="s">
        <v>600</v>
      </c>
      <c r="C44" s="418" t="s">
        <v>601</v>
      </c>
    </row>
    <row r="45" spans="1:3" ht="12.75">
      <c r="A45" s="8">
        <v>43</v>
      </c>
      <c r="B45" s="418" t="s">
        <v>602</v>
      </c>
      <c r="C45" s="418" t="s">
        <v>603</v>
      </c>
    </row>
    <row r="46" spans="1:3" ht="12.75">
      <c r="A46" s="8">
        <v>44</v>
      </c>
      <c r="B46" s="418" t="s">
        <v>604</v>
      </c>
      <c r="C46" s="418" t="s">
        <v>605</v>
      </c>
    </row>
    <row r="47" spans="1:3" ht="12.75">
      <c r="A47" s="8">
        <v>45</v>
      </c>
      <c r="B47" s="418" t="s">
        <v>606</v>
      </c>
      <c r="C47" s="418" t="s">
        <v>618</v>
      </c>
    </row>
    <row r="48" spans="1:3" ht="12.75">
      <c r="A48" s="8">
        <v>46</v>
      </c>
      <c r="B48" s="418" t="s">
        <v>607</v>
      </c>
      <c r="C48" s="418" t="s">
        <v>620</v>
      </c>
    </row>
    <row r="49" spans="1:3" ht="12.75">
      <c r="A49" s="8">
        <v>47</v>
      </c>
      <c r="B49" s="418" t="s">
        <v>608</v>
      </c>
      <c r="C49" s="418" t="s">
        <v>843</v>
      </c>
    </row>
    <row r="50" spans="1:3" ht="12.75">
      <c r="A50" s="8">
        <v>48</v>
      </c>
      <c r="B50" s="418" t="s">
        <v>695</v>
      </c>
      <c r="C50" s="418" t="s">
        <v>844</v>
      </c>
    </row>
    <row r="51" spans="1:3" ht="12.75">
      <c r="A51" s="8">
        <v>49</v>
      </c>
      <c r="B51" s="418" t="s">
        <v>609</v>
      </c>
      <c r="C51" s="418" t="s">
        <v>616</v>
      </c>
    </row>
    <row r="52" spans="1:3" ht="12.75">
      <c r="A52" s="8">
        <v>50</v>
      </c>
      <c r="B52" s="418" t="s">
        <v>610</v>
      </c>
      <c r="C52" s="418" t="s">
        <v>622</v>
      </c>
    </row>
    <row r="53" spans="1:3" ht="12.75">
      <c r="A53" s="8">
        <v>51</v>
      </c>
      <c r="B53" s="418" t="s">
        <v>612</v>
      </c>
      <c r="C53" s="418" t="s">
        <v>858</v>
      </c>
    </row>
    <row r="54" spans="1:3" ht="12.75">
      <c r="A54" s="8">
        <v>52</v>
      </c>
      <c r="B54" s="418" t="s">
        <v>696</v>
      </c>
      <c r="C54" s="418" t="s">
        <v>859</v>
      </c>
    </row>
    <row r="55" spans="1:3" ht="12.75">
      <c r="A55" s="8">
        <v>53</v>
      </c>
      <c r="B55" s="418" t="s">
        <v>614</v>
      </c>
      <c r="C55" s="418" t="s">
        <v>860</v>
      </c>
    </row>
    <row r="56" spans="1:3" ht="12.75">
      <c r="A56" s="8">
        <v>54</v>
      </c>
      <c r="B56" s="418" t="s">
        <v>697</v>
      </c>
      <c r="C56" s="418" t="s">
        <v>861</v>
      </c>
    </row>
    <row r="57" spans="1:3" ht="12.75">
      <c r="A57" s="8">
        <v>55</v>
      </c>
      <c r="B57" s="418" t="s">
        <v>698</v>
      </c>
      <c r="C57" s="418" t="s">
        <v>862</v>
      </c>
    </row>
    <row r="58" spans="1:3" ht="12.75">
      <c r="A58" s="8">
        <v>56</v>
      </c>
      <c r="B58" s="418" t="s">
        <v>699</v>
      </c>
      <c r="C58" s="418" t="s">
        <v>863</v>
      </c>
    </row>
    <row r="59" spans="1:3" ht="12.75">
      <c r="A59" s="8">
        <v>57</v>
      </c>
      <c r="B59" s="418" t="s">
        <v>700</v>
      </c>
      <c r="C59" s="418" t="s">
        <v>864</v>
      </c>
    </row>
    <row r="60" spans="1:3" ht="12.75">
      <c r="A60" s="8">
        <v>58</v>
      </c>
      <c r="B60" s="418" t="s">
        <v>615</v>
      </c>
      <c r="C60" s="418" t="s">
        <v>865</v>
      </c>
    </row>
    <row r="61" spans="1:3" ht="12.75">
      <c r="A61" s="8">
        <v>59</v>
      </c>
      <c r="B61" s="418" t="s">
        <v>701</v>
      </c>
      <c r="C61" s="418" t="s">
        <v>866</v>
      </c>
    </row>
    <row r="62" spans="1:3" ht="12.75">
      <c r="A62" s="8">
        <v>60</v>
      </c>
      <c r="B62" s="418" t="s">
        <v>870</v>
      </c>
      <c r="C62" s="418" t="s">
        <v>876</v>
      </c>
    </row>
    <row r="63" spans="1:3" ht="12.75">
      <c r="A63" s="8">
        <v>61</v>
      </c>
      <c r="B63" s="418" t="s">
        <v>617</v>
      </c>
      <c r="C63" s="418" t="s">
        <v>877</v>
      </c>
    </row>
    <row r="64" spans="1:3" ht="12.75">
      <c r="A64" s="8">
        <v>62</v>
      </c>
      <c r="B64" s="559" t="s">
        <v>878</v>
      </c>
      <c r="C64" s="418" t="s">
        <v>879</v>
      </c>
    </row>
    <row r="65" spans="1:3" ht="12.75">
      <c r="A65" s="8">
        <v>63</v>
      </c>
      <c r="B65" s="418" t="s">
        <v>619</v>
      </c>
      <c r="C65" s="418" t="s">
        <v>867</v>
      </c>
    </row>
    <row r="66" spans="1:3" ht="12.75">
      <c r="A66" s="8">
        <v>64</v>
      </c>
      <c r="B66" s="418" t="s">
        <v>621</v>
      </c>
      <c r="C66" s="418" t="s">
        <v>868</v>
      </c>
    </row>
    <row r="67" spans="1:3" ht="12.75">
      <c r="A67" s="8">
        <v>65</v>
      </c>
      <c r="B67" s="463" t="s">
        <v>766</v>
      </c>
      <c r="C67" s="463" t="s">
        <v>845</v>
      </c>
    </row>
    <row r="68" spans="1:3" ht="12.75">
      <c r="A68" s="8">
        <v>66</v>
      </c>
      <c r="B68" s="463" t="s">
        <v>767</v>
      </c>
      <c r="C68" s="463" t="s">
        <v>833</v>
      </c>
    </row>
    <row r="69" spans="1:3" ht="12.75">
      <c r="A69" s="8">
        <v>67</v>
      </c>
      <c r="B69" s="463" t="s">
        <v>673</v>
      </c>
      <c r="C69" s="463" t="s">
        <v>981</v>
      </c>
    </row>
    <row r="70" spans="1:3" ht="12.75">
      <c r="A70" s="8">
        <v>68</v>
      </c>
      <c r="B70" s="463" t="s">
        <v>674</v>
      </c>
      <c r="C70" s="463" t="s">
        <v>869</v>
      </c>
    </row>
    <row r="71" spans="1:3" ht="12.75">
      <c r="A71" s="8">
        <v>69</v>
      </c>
      <c r="B71" s="463" t="s">
        <v>675</v>
      </c>
      <c r="C71" s="463" t="s">
        <v>676</v>
      </c>
    </row>
    <row r="72" spans="1:3" ht="12.75">
      <c r="A72" s="641">
        <v>70</v>
      </c>
      <c r="B72" s="463" t="s">
        <v>1065</v>
      </c>
      <c r="C72" s="463" t="s">
        <v>1066</v>
      </c>
    </row>
    <row r="73" spans="1:3" ht="12.75">
      <c r="A73" s="641">
        <v>71</v>
      </c>
      <c r="B73" s="463" t="s">
        <v>1067</v>
      </c>
      <c r="C73" s="9" t="s">
        <v>1068</v>
      </c>
    </row>
  </sheetData>
  <sheetProtection/>
  <mergeCells count="1">
    <mergeCell ref="A1:D1"/>
  </mergeCells>
  <printOptions/>
  <pageMargins left="0.3" right="0.23" top="0.37" bottom="0.27" header="0.2" footer="0.21"/>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pageSetUpPr fitToPage="1"/>
  </sheetPr>
  <dimension ref="A1:S32"/>
  <sheetViews>
    <sheetView view="pageBreakPreview" zoomScaleSheetLayoutView="100" zoomScalePageLayoutView="0" workbookViewId="0" topLeftCell="A1">
      <selection activeCell="B9" sqref="B9:B10"/>
    </sheetView>
  </sheetViews>
  <sheetFormatPr defaultColWidth="9.140625" defaultRowHeight="12.75"/>
  <cols>
    <col min="1" max="1" width="4.8515625" style="16" customWidth="1"/>
    <col min="2" max="2" width="12.00390625" style="16" customWidth="1"/>
    <col min="3" max="3" width="10.57421875" style="16" customWidth="1"/>
    <col min="4" max="4" width="11.140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9.140625" style="16" customWidth="1"/>
  </cols>
  <sheetData>
    <row r="1" spans="4:16" ht="15">
      <c r="D1" s="31"/>
      <c r="E1" s="31"/>
      <c r="F1" s="31"/>
      <c r="G1" s="31"/>
      <c r="H1" s="31"/>
      <c r="I1" s="31"/>
      <c r="J1" s="31"/>
      <c r="K1" s="31"/>
      <c r="L1" s="777" t="s">
        <v>68</v>
      </c>
      <c r="M1" s="777"/>
      <c r="N1" s="777"/>
      <c r="O1" s="44"/>
      <c r="P1" s="44"/>
    </row>
    <row r="2" spans="1:16" ht="15">
      <c r="A2" s="751" t="s">
        <v>0</v>
      </c>
      <c r="B2" s="751"/>
      <c r="C2" s="751"/>
      <c r="D2" s="751"/>
      <c r="E2" s="751"/>
      <c r="F2" s="751"/>
      <c r="G2" s="751"/>
      <c r="H2" s="751"/>
      <c r="I2" s="751"/>
      <c r="J2" s="751"/>
      <c r="K2" s="751"/>
      <c r="L2" s="751"/>
      <c r="M2" s="46"/>
      <c r="N2" s="46"/>
      <c r="O2" s="46"/>
      <c r="P2" s="46"/>
    </row>
    <row r="3" spans="1:16" ht="20.25">
      <c r="A3" s="778" t="s">
        <v>854</v>
      </c>
      <c r="B3" s="778"/>
      <c r="C3" s="778"/>
      <c r="D3" s="778"/>
      <c r="E3" s="778"/>
      <c r="F3" s="778"/>
      <c r="G3" s="778"/>
      <c r="H3" s="778"/>
      <c r="I3" s="778"/>
      <c r="J3" s="778"/>
      <c r="K3" s="778"/>
      <c r="L3" s="778"/>
      <c r="M3" s="45"/>
      <c r="N3" s="45"/>
      <c r="O3" s="45"/>
      <c r="P3" s="45"/>
    </row>
    <row r="4" ht="10.5" customHeight="1"/>
    <row r="5" spans="1:12" ht="19.5" customHeight="1">
      <c r="A5" s="752" t="s">
        <v>998</v>
      </c>
      <c r="B5" s="752"/>
      <c r="C5" s="752"/>
      <c r="D5" s="752"/>
      <c r="E5" s="752"/>
      <c r="F5" s="752"/>
      <c r="G5" s="752"/>
      <c r="H5" s="752"/>
      <c r="I5" s="752"/>
      <c r="J5" s="752"/>
      <c r="K5" s="752"/>
      <c r="L5" s="752"/>
    </row>
    <row r="6" spans="1:12" ht="12.75">
      <c r="A6" s="22"/>
      <c r="B6" s="22"/>
      <c r="C6" s="22"/>
      <c r="D6" s="22"/>
      <c r="E6" s="22"/>
      <c r="F6" s="22"/>
      <c r="G6" s="22"/>
      <c r="H6" s="22"/>
      <c r="I6" s="22"/>
      <c r="J6" s="22"/>
      <c r="K6" s="22"/>
      <c r="L6" s="22"/>
    </row>
    <row r="7" spans="1:12" ht="12.75">
      <c r="A7" s="699" t="s">
        <v>475</v>
      </c>
      <c r="B7" s="699"/>
      <c r="F7" s="773" t="s">
        <v>16</v>
      </c>
      <c r="G7" s="773"/>
      <c r="H7" s="773"/>
      <c r="I7" s="773"/>
      <c r="J7" s="773"/>
      <c r="K7" s="773"/>
      <c r="L7" s="773"/>
    </row>
    <row r="8" spans="1:12" ht="12.75">
      <c r="A8" s="15"/>
      <c r="F8" s="17"/>
      <c r="G8" s="103"/>
      <c r="H8" s="103"/>
      <c r="I8" s="742" t="s">
        <v>933</v>
      </c>
      <c r="J8" s="742"/>
      <c r="K8" s="742"/>
      <c r="L8" s="742"/>
    </row>
    <row r="9" spans="1:19" s="282" customFormat="1" ht="12.75">
      <c r="A9" s="653" t="s">
        <v>491</v>
      </c>
      <c r="B9" s="653" t="s">
        <v>3</v>
      </c>
      <c r="C9" s="683" t="s">
        <v>17</v>
      </c>
      <c r="D9" s="753"/>
      <c r="E9" s="753"/>
      <c r="F9" s="753"/>
      <c r="G9" s="753"/>
      <c r="H9" s="683" t="s">
        <v>39</v>
      </c>
      <c r="I9" s="753"/>
      <c r="J9" s="753"/>
      <c r="K9" s="753"/>
      <c r="L9" s="753"/>
      <c r="R9" s="158"/>
      <c r="S9" s="283"/>
    </row>
    <row r="10" spans="1:12" s="282" customFormat="1" ht="63.75">
      <c r="A10" s="653"/>
      <c r="B10" s="653"/>
      <c r="C10" s="257" t="s">
        <v>910</v>
      </c>
      <c r="D10" s="257" t="s">
        <v>939</v>
      </c>
      <c r="E10" s="257" t="s">
        <v>66</v>
      </c>
      <c r="F10" s="257" t="s">
        <v>67</v>
      </c>
      <c r="G10" s="257" t="s">
        <v>369</v>
      </c>
      <c r="H10" s="257" t="s">
        <v>910</v>
      </c>
      <c r="I10" s="257" t="s">
        <v>939</v>
      </c>
      <c r="J10" s="257" t="s">
        <v>66</v>
      </c>
      <c r="K10" s="257" t="s">
        <v>67</v>
      </c>
      <c r="L10" s="257" t="s">
        <v>370</v>
      </c>
    </row>
    <row r="11" spans="1:12" s="15" customFormat="1" ht="12.75">
      <c r="A11" s="5">
        <v>1</v>
      </c>
      <c r="B11" s="5">
        <v>2</v>
      </c>
      <c r="C11" s="5">
        <v>3</v>
      </c>
      <c r="D11" s="5">
        <v>4</v>
      </c>
      <c r="E11" s="5">
        <v>5</v>
      </c>
      <c r="F11" s="5">
        <v>6</v>
      </c>
      <c r="G11" s="5">
        <v>7</v>
      </c>
      <c r="H11" s="5">
        <v>8</v>
      </c>
      <c r="I11" s="5">
        <v>9</v>
      </c>
      <c r="J11" s="5">
        <v>10</v>
      </c>
      <c r="K11" s="5">
        <v>11</v>
      </c>
      <c r="L11" s="5">
        <v>12</v>
      </c>
    </row>
    <row r="12" spans="1:14" ht="12.75">
      <c r="A12" s="8">
        <v>1</v>
      </c>
      <c r="B12" s="19" t="s">
        <v>476</v>
      </c>
      <c r="C12" s="323">
        <f>4630.87*'enrolment vs availed_UPY'!G11/173814</f>
        <v>904.6520467281116</v>
      </c>
      <c r="D12" s="323">
        <f>110.72*C12/4630.87</f>
        <v>21.629429159906568</v>
      </c>
      <c r="E12" s="323">
        <f>4169.14*C12/4630.87</f>
        <v>814.4519354022116</v>
      </c>
      <c r="F12" s="323">
        <f>'T5A_PLAN_vs_PRFM '!H12*0.00015</f>
        <v>814.4212499999999</v>
      </c>
      <c r="G12" s="323">
        <f>(D12+E12)-F12</f>
        <v>21.660114562118224</v>
      </c>
      <c r="H12" s="403">
        <v>0</v>
      </c>
      <c r="I12" s="403">
        <v>0</v>
      </c>
      <c r="J12" s="403">
        <v>0</v>
      </c>
      <c r="K12" s="323">
        <v>0</v>
      </c>
      <c r="L12" s="323">
        <v>0</v>
      </c>
      <c r="N12" s="429"/>
    </row>
    <row r="13" spans="1:14" ht="12.75">
      <c r="A13" s="8">
        <v>2</v>
      </c>
      <c r="B13" s="19" t="s">
        <v>477</v>
      </c>
      <c r="C13" s="323">
        <f>4630.87*'enrolment vs availed_UPY'!G12/173814</f>
        <v>639.9037802478512</v>
      </c>
      <c r="D13" s="323">
        <f aca="true" t="shared" si="0" ref="D13:D19">110.72*C13/4630.87</f>
        <v>15.299532603817875</v>
      </c>
      <c r="E13" s="323">
        <f aca="true" t="shared" si="1" ref="E13:E19">4169.14*C13/4630.87</f>
        <v>576.1009154613553</v>
      </c>
      <c r="F13" s="323">
        <f>'T5A_PLAN_vs_PRFM '!H13*0.00015</f>
        <v>576.045</v>
      </c>
      <c r="G13" s="323">
        <f aca="true" t="shared" si="2" ref="G13:G19">(D13+E13)-F13</f>
        <v>15.355448065173164</v>
      </c>
      <c r="H13" s="403">
        <v>0</v>
      </c>
      <c r="I13" s="403">
        <v>0</v>
      </c>
      <c r="J13" s="403">
        <v>0</v>
      </c>
      <c r="K13" s="323">
        <v>0</v>
      </c>
      <c r="L13" s="323">
        <v>0</v>
      </c>
      <c r="N13" s="429"/>
    </row>
    <row r="14" spans="1:14" ht="12.75">
      <c r="A14" s="8">
        <v>3</v>
      </c>
      <c r="B14" s="19" t="s">
        <v>478</v>
      </c>
      <c r="C14" s="323">
        <f>4630.87*'enrolment vs availed_UPY'!G13/173814</f>
        <v>395.69701658094283</v>
      </c>
      <c r="D14" s="323">
        <f t="shared" si="0"/>
        <v>9.460765185773298</v>
      </c>
      <c r="E14" s="323">
        <f t="shared" si="1"/>
        <v>356.24326740078476</v>
      </c>
      <c r="F14" s="323">
        <f>'T5A_PLAN_vs_PRFM '!H14*0.00015</f>
        <v>356.1975</v>
      </c>
      <c r="G14" s="323">
        <f t="shared" si="2"/>
        <v>9.50653258655808</v>
      </c>
      <c r="H14" s="403">
        <v>0</v>
      </c>
      <c r="I14" s="403">
        <v>0</v>
      </c>
      <c r="J14" s="403">
        <v>0</v>
      </c>
      <c r="K14" s="323">
        <v>0</v>
      </c>
      <c r="L14" s="323">
        <v>0</v>
      </c>
      <c r="N14" s="429"/>
    </row>
    <row r="15" spans="1:14" ht="12.75">
      <c r="A15" s="8">
        <v>4</v>
      </c>
      <c r="B15" s="19" t="s">
        <v>479</v>
      </c>
      <c r="C15" s="323">
        <f>4630.87*'enrolment vs availed_UPY'!G14/173814</f>
        <v>554.8070746890354</v>
      </c>
      <c r="D15" s="323">
        <f t="shared" si="0"/>
        <v>13.264945746602692</v>
      </c>
      <c r="E15" s="323">
        <f t="shared" si="1"/>
        <v>499.48894427376393</v>
      </c>
      <c r="F15" s="323">
        <f>'T5A_PLAN_vs_PRFM '!H15*0.00015</f>
        <v>499.46624999999995</v>
      </c>
      <c r="G15" s="323">
        <f t="shared" si="2"/>
        <v>13.287640020366666</v>
      </c>
      <c r="H15" s="403">
        <v>0</v>
      </c>
      <c r="I15" s="403">
        <v>0</v>
      </c>
      <c r="J15" s="403">
        <v>0</v>
      </c>
      <c r="K15" s="323">
        <v>0</v>
      </c>
      <c r="L15" s="323">
        <v>0</v>
      </c>
      <c r="N15" s="430"/>
    </row>
    <row r="16" spans="1:14" ht="12.75">
      <c r="A16" s="8">
        <v>5</v>
      </c>
      <c r="B16" s="19" t="s">
        <v>480</v>
      </c>
      <c r="C16" s="323">
        <f>4630.87*'enrolment vs availed_UPY'!G15/173814</f>
        <v>607.7194282393823</v>
      </c>
      <c r="D16" s="323">
        <f t="shared" si="0"/>
        <v>14.530033253938116</v>
      </c>
      <c r="E16" s="323">
        <f t="shared" si="1"/>
        <v>547.1255675607258</v>
      </c>
      <c r="F16" s="323">
        <f>'T5A_PLAN_vs_PRFM '!H16*0.00015</f>
        <v>547.0537499999999</v>
      </c>
      <c r="G16" s="323">
        <f t="shared" si="2"/>
        <v>14.601850814663976</v>
      </c>
      <c r="H16" s="403">
        <v>0</v>
      </c>
      <c r="I16" s="403">
        <v>0</v>
      </c>
      <c r="J16" s="403">
        <v>0</v>
      </c>
      <c r="K16" s="323">
        <v>0</v>
      </c>
      <c r="L16" s="323">
        <v>0</v>
      </c>
      <c r="N16" s="430"/>
    </row>
    <row r="17" spans="1:14" ht="12.75">
      <c r="A17" s="8">
        <v>6</v>
      </c>
      <c r="B17" s="19" t="s">
        <v>481</v>
      </c>
      <c r="C17" s="323">
        <f>4630.87*'enrolment vs availed_UPY'!G16/173814</f>
        <v>411.78919258517726</v>
      </c>
      <c r="D17" s="323">
        <f t="shared" si="0"/>
        <v>9.845514860713177</v>
      </c>
      <c r="E17" s="323">
        <f t="shared" si="1"/>
        <v>370.7309413510995</v>
      </c>
      <c r="F17" s="323">
        <f>'T5A_PLAN_vs_PRFM '!H17*0.00015</f>
        <v>370.71</v>
      </c>
      <c r="G17" s="323">
        <f t="shared" si="2"/>
        <v>9.866456211812704</v>
      </c>
      <c r="H17" s="403">
        <v>0</v>
      </c>
      <c r="I17" s="403">
        <v>0</v>
      </c>
      <c r="J17" s="403">
        <v>0</v>
      </c>
      <c r="K17" s="323">
        <v>0</v>
      </c>
      <c r="L17" s="323">
        <v>0</v>
      </c>
      <c r="N17" s="430"/>
    </row>
    <row r="18" spans="1:14" ht="12.75">
      <c r="A18" s="8">
        <v>7</v>
      </c>
      <c r="B18" s="19" t="s">
        <v>482</v>
      </c>
      <c r="C18" s="323">
        <f>4630.87*'enrolment vs availed_UPY'!G17/173814</f>
        <v>561.5743142669751</v>
      </c>
      <c r="D18" s="323">
        <f t="shared" si="0"/>
        <v>13.426744450964826</v>
      </c>
      <c r="E18" s="323">
        <f t="shared" si="1"/>
        <v>505.581442921744</v>
      </c>
      <c r="F18" s="323">
        <f>'T5A_PLAN_vs_PRFM '!H18*0.00015</f>
        <v>505.50749999999994</v>
      </c>
      <c r="G18" s="323">
        <f t="shared" si="2"/>
        <v>13.500687372708853</v>
      </c>
      <c r="H18" s="403">
        <v>0</v>
      </c>
      <c r="I18" s="403">
        <v>0</v>
      </c>
      <c r="J18" s="403">
        <v>0</v>
      </c>
      <c r="K18" s="323">
        <v>0</v>
      </c>
      <c r="L18" s="323">
        <v>0</v>
      </c>
      <c r="N18" s="430"/>
    </row>
    <row r="19" spans="1:14" ht="12.75">
      <c r="A19" s="8">
        <v>8</v>
      </c>
      <c r="B19" s="19" t="s">
        <v>483</v>
      </c>
      <c r="C19" s="323">
        <f>4630.87*'enrolment vs availed_UPY'!G18/173814</f>
        <v>554.7271466625243</v>
      </c>
      <c r="D19" s="323">
        <f t="shared" si="0"/>
        <v>13.263034738283453</v>
      </c>
      <c r="E19" s="323">
        <f t="shared" si="1"/>
        <v>499.4169856283154</v>
      </c>
      <c r="F19" s="323">
        <f>'T5A_PLAN_vs_PRFM '!H19*0.00015</f>
        <v>499.43249999999995</v>
      </c>
      <c r="G19" s="323">
        <f t="shared" si="2"/>
        <v>13.247520366598849</v>
      </c>
      <c r="H19" s="403">
        <v>0</v>
      </c>
      <c r="I19" s="403">
        <v>0</v>
      </c>
      <c r="J19" s="403">
        <v>0</v>
      </c>
      <c r="K19" s="323">
        <v>0</v>
      </c>
      <c r="L19" s="323">
        <v>0</v>
      </c>
      <c r="N19" s="430"/>
    </row>
    <row r="20" spans="1:17" ht="12.75">
      <c r="A20" s="3"/>
      <c r="B20" s="27" t="s">
        <v>484</v>
      </c>
      <c r="C20" s="569">
        <f aca="true" t="shared" si="3" ref="C20:L20">SUM(C12:C19)</f>
        <v>4630.87</v>
      </c>
      <c r="D20" s="569">
        <f t="shared" si="3"/>
        <v>110.72000000000001</v>
      </c>
      <c r="E20" s="323">
        <f t="shared" si="3"/>
        <v>4169.14</v>
      </c>
      <c r="F20" s="323">
        <f t="shared" si="3"/>
        <v>4168.83375</v>
      </c>
      <c r="G20" s="323">
        <f t="shared" si="3"/>
        <v>111.02625000000052</v>
      </c>
      <c r="H20" s="323">
        <f t="shared" si="3"/>
        <v>0</v>
      </c>
      <c r="I20" s="323">
        <f t="shared" si="3"/>
        <v>0</v>
      </c>
      <c r="J20" s="323">
        <f t="shared" si="3"/>
        <v>0</v>
      </c>
      <c r="K20" s="323">
        <f t="shared" si="3"/>
        <v>0</v>
      </c>
      <c r="L20" s="323">
        <f t="shared" si="3"/>
        <v>0</v>
      </c>
      <c r="N20" s="338"/>
      <c r="P20" s="430"/>
      <c r="Q20" s="430"/>
    </row>
    <row r="21" spans="1:12" ht="12.75">
      <c r="A21" s="12"/>
      <c r="B21" s="28"/>
      <c r="C21" s="21"/>
      <c r="D21" s="21"/>
      <c r="E21" s="21"/>
      <c r="F21" s="21"/>
      <c r="G21" s="21"/>
      <c r="H21" s="21"/>
      <c r="I21" s="21"/>
      <c r="J21" s="21"/>
      <c r="K21" s="21"/>
      <c r="L21" s="21" t="s">
        <v>10</v>
      </c>
    </row>
    <row r="22" spans="1:12" ht="12.75">
      <c r="A22" s="20" t="s">
        <v>367</v>
      </c>
      <c r="B22" s="21"/>
      <c r="C22" s="21"/>
      <c r="D22" s="21"/>
      <c r="E22" s="21"/>
      <c r="F22" s="21"/>
      <c r="G22" s="21"/>
      <c r="H22" s="21"/>
      <c r="I22" s="21"/>
      <c r="J22" s="21"/>
      <c r="K22" s="21"/>
      <c r="L22" s="21"/>
    </row>
    <row r="23" spans="1:12" ht="15.75" customHeight="1">
      <c r="A23" s="15"/>
      <c r="B23" s="776"/>
      <c r="C23" s="776"/>
      <c r="D23" s="776"/>
      <c r="E23" s="776"/>
      <c r="F23" s="776"/>
      <c r="G23" s="776"/>
      <c r="H23" s="776"/>
      <c r="I23" s="776"/>
      <c r="J23" s="776"/>
      <c r="K23" s="15"/>
      <c r="L23" s="15"/>
    </row>
    <row r="24" spans="1:12" ht="12.75">
      <c r="A24" s="15"/>
      <c r="B24" s="483"/>
      <c r="C24" s="484"/>
      <c r="D24" s="484"/>
      <c r="E24" s="484"/>
      <c r="F24" s="483"/>
      <c r="G24" s="483"/>
      <c r="H24" s="483"/>
      <c r="I24" s="15"/>
      <c r="J24" s="15"/>
      <c r="K24" s="15"/>
      <c r="L24" s="15"/>
    </row>
    <row r="25" spans="1:12" ht="12.75">
      <c r="A25" s="337"/>
      <c r="B25" s="482"/>
      <c r="C25" s="484"/>
      <c r="D25" s="484"/>
      <c r="E25" s="484"/>
      <c r="F25" s="482"/>
      <c r="G25" s="482"/>
      <c r="H25" s="482"/>
      <c r="I25" s="482"/>
      <c r="J25" s="775"/>
      <c r="K25" s="775"/>
      <c r="L25" s="775"/>
    </row>
    <row r="26" spans="2:12" ht="12.75" customHeight="1">
      <c r="B26" s="86"/>
      <c r="C26" s="484"/>
      <c r="D26" s="484"/>
      <c r="E26" s="484"/>
      <c r="F26" s="86"/>
      <c r="G26" s="86"/>
      <c r="H26" s="86"/>
      <c r="I26" s="86"/>
      <c r="J26" s="775" t="s">
        <v>819</v>
      </c>
      <c r="K26" s="775"/>
      <c r="L26" s="775"/>
    </row>
    <row r="27" spans="2:12" ht="12.75" customHeight="1">
      <c r="B27" s="86"/>
      <c r="C27" s="484"/>
      <c r="D27" s="484"/>
      <c r="E27" s="484"/>
      <c r="F27" s="86"/>
      <c r="G27" s="86"/>
      <c r="H27" s="86"/>
      <c r="I27" s="86"/>
      <c r="J27" s="775" t="s">
        <v>488</v>
      </c>
      <c r="K27" s="775"/>
      <c r="L27" s="775"/>
    </row>
    <row r="28" spans="1:12" ht="12.75">
      <c r="A28" s="15" t="s">
        <v>18</v>
      </c>
      <c r="B28" s="15"/>
      <c r="C28" s="484"/>
      <c r="D28" s="484"/>
      <c r="E28" s="484"/>
      <c r="F28" s="15"/>
      <c r="J28" s="699" t="s">
        <v>80</v>
      </c>
      <c r="K28" s="699"/>
      <c r="L28" s="699"/>
    </row>
    <row r="29" spans="1:5" ht="12.75">
      <c r="A29" s="15"/>
      <c r="C29" s="484"/>
      <c r="D29" s="484"/>
      <c r="E29" s="484"/>
    </row>
    <row r="30" spans="1:12" ht="12.75">
      <c r="A30" s="445"/>
      <c r="B30" s="445"/>
      <c r="C30" s="484"/>
      <c r="D30" s="484"/>
      <c r="E30" s="484"/>
      <c r="F30" s="445"/>
      <c r="G30" s="445"/>
      <c r="H30" s="445"/>
      <c r="I30" s="445"/>
      <c r="J30" s="445"/>
      <c r="K30" s="445"/>
      <c r="L30" s="445"/>
    </row>
    <row r="31" spans="3:5" ht="12.75">
      <c r="C31" s="484"/>
      <c r="D31" s="484"/>
      <c r="E31" s="484"/>
    </row>
    <row r="32" spans="3:5" ht="12.75">
      <c r="C32" s="338"/>
      <c r="D32" s="484"/>
      <c r="E32" s="484"/>
    </row>
  </sheetData>
  <sheetProtection/>
  <mergeCells count="16">
    <mergeCell ref="L1:N1"/>
    <mergeCell ref="A2:L2"/>
    <mergeCell ref="A3:L3"/>
    <mergeCell ref="A5:L5"/>
    <mergeCell ref="I8:L8"/>
    <mergeCell ref="A9:A10"/>
    <mergeCell ref="B9:B10"/>
    <mergeCell ref="C9:G9"/>
    <mergeCell ref="H9:L9"/>
    <mergeCell ref="A7:B7"/>
    <mergeCell ref="J26:L26"/>
    <mergeCell ref="J27:L27"/>
    <mergeCell ref="J28:L28"/>
    <mergeCell ref="J25:L25"/>
    <mergeCell ref="F7:L7"/>
    <mergeCell ref="B23:J23"/>
  </mergeCells>
  <printOptions horizontalCentered="1"/>
  <pageMargins left="0.7086614173228347" right="0.22" top="1.19" bottom="0" header="0.67" footer="0.31496062992125984"/>
  <pageSetup fitToHeight="1" fitToWidth="1" horizontalDpi="600" verticalDpi="600" orientation="landscape" paperSize="9" r:id="rId1"/>
  <rowBreaks count="1" manualBreakCount="1">
    <brk id="29"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R31"/>
  <sheetViews>
    <sheetView view="pageBreakPreview" zoomScale="90" zoomScaleSheetLayoutView="90" zoomScalePageLayoutView="0" workbookViewId="0" topLeftCell="A1">
      <selection activeCell="J14" sqref="J14:J21"/>
    </sheetView>
  </sheetViews>
  <sheetFormatPr defaultColWidth="9.140625" defaultRowHeight="12.75"/>
  <cols>
    <col min="1" max="1" width="5.7109375" style="133" customWidth="1"/>
    <col min="2" max="2" width="12.421875" style="133" customWidth="1"/>
    <col min="3" max="3" width="13.00390625" style="133" customWidth="1"/>
    <col min="4" max="4" width="12.00390625" style="133" customWidth="1"/>
    <col min="5" max="5" width="12.421875" style="133" customWidth="1"/>
    <col min="6" max="6" width="12.7109375" style="133" customWidth="1"/>
    <col min="7" max="7" width="13.140625" style="133" customWidth="1"/>
    <col min="8" max="8" width="12.7109375" style="133" customWidth="1"/>
    <col min="9" max="9" width="12.140625" style="133" customWidth="1"/>
    <col min="10" max="10" width="12.140625" style="235" customWidth="1"/>
    <col min="11" max="11" width="16.57421875" style="133" customWidth="1"/>
    <col min="12" max="12" width="13.140625" style="133" customWidth="1"/>
    <col min="13" max="13" width="12.7109375" style="133" customWidth="1"/>
    <col min="14" max="17" width="9.140625" style="133" customWidth="1"/>
    <col min="18" max="18" width="9.57421875" style="133" bestFit="1" customWidth="1"/>
    <col min="19" max="16384" width="9.140625" style="133" customWidth="1"/>
  </cols>
  <sheetData>
    <row r="1" spans="11:13" ht="12.75">
      <c r="K1" s="698" t="s">
        <v>205</v>
      </c>
      <c r="L1" s="698"/>
      <c r="M1" s="698"/>
    </row>
    <row r="2" ht="12.75" customHeight="1"/>
    <row r="3" spans="1:13" ht="15.75">
      <c r="A3" s="791" t="s">
        <v>0</v>
      </c>
      <c r="B3" s="791"/>
      <c r="C3" s="791"/>
      <c r="D3" s="791"/>
      <c r="E3" s="791"/>
      <c r="F3" s="791"/>
      <c r="G3" s="791"/>
      <c r="H3" s="791"/>
      <c r="I3" s="791"/>
      <c r="J3" s="791"/>
      <c r="K3" s="791"/>
      <c r="L3" s="791"/>
      <c r="M3" s="791"/>
    </row>
    <row r="4" spans="1:13" ht="20.25">
      <c r="A4" s="792" t="s">
        <v>854</v>
      </c>
      <c r="B4" s="792"/>
      <c r="C4" s="792"/>
      <c r="D4" s="792"/>
      <c r="E4" s="792"/>
      <c r="F4" s="792"/>
      <c r="G4" s="792"/>
      <c r="H4" s="792"/>
      <c r="I4" s="792"/>
      <c r="J4" s="792"/>
      <c r="K4" s="792"/>
      <c r="L4" s="792"/>
      <c r="M4" s="792"/>
    </row>
    <row r="5" ht="10.5" customHeight="1"/>
    <row r="6" spans="1:13" ht="15.75">
      <c r="A6" s="790" t="s">
        <v>911</v>
      </c>
      <c r="B6" s="790"/>
      <c r="C6" s="790"/>
      <c r="D6" s="790"/>
      <c r="E6" s="790"/>
      <c r="F6" s="790"/>
      <c r="G6" s="790"/>
      <c r="H6" s="790"/>
      <c r="I6" s="790"/>
      <c r="J6" s="790"/>
      <c r="K6" s="790"/>
      <c r="L6" s="790"/>
      <c r="M6" s="790"/>
    </row>
    <row r="7" spans="1:13" ht="15.75">
      <c r="A7" s="134"/>
      <c r="B7" s="134"/>
      <c r="C7" s="134"/>
      <c r="D7" s="134"/>
      <c r="E7" s="134"/>
      <c r="F7" s="134"/>
      <c r="G7" s="134"/>
      <c r="H7" s="134"/>
      <c r="I7" s="134"/>
      <c r="J7" s="134"/>
      <c r="K7" s="134"/>
      <c r="L7" s="134"/>
      <c r="M7" s="134"/>
    </row>
    <row r="8" spans="2:13" ht="15.75">
      <c r="B8" s="134"/>
      <c r="C8" s="134"/>
      <c r="D8" s="134"/>
      <c r="E8" s="134"/>
      <c r="F8" s="134"/>
      <c r="G8" s="134"/>
      <c r="H8" s="134"/>
      <c r="L8" s="793" t="s">
        <v>186</v>
      </c>
      <c r="M8" s="793"/>
    </row>
    <row r="9" spans="1:13" ht="15.75">
      <c r="A9" s="699" t="s">
        <v>475</v>
      </c>
      <c r="B9" s="699"/>
      <c r="C9" s="134"/>
      <c r="D9" s="134"/>
      <c r="E9" s="134"/>
      <c r="F9" s="134"/>
      <c r="G9" s="742" t="s">
        <v>933</v>
      </c>
      <c r="H9" s="742"/>
      <c r="I9" s="742"/>
      <c r="J9" s="742"/>
      <c r="K9" s="742"/>
      <c r="L9" s="742"/>
      <c r="M9" s="742"/>
    </row>
    <row r="10" spans="1:13" ht="15.75" customHeight="1">
      <c r="A10" s="780" t="s">
        <v>21</v>
      </c>
      <c r="B10" s="779" t="s">
        <v>3</v>
      </c>
      <c r="C10" s="779" t="s">
        <v>912</v>
      </c>
      <c r="D10" s="779" t="s">
        <v>939</v>
      </c>
      <c r="E10" s="779" t="s">
        <v>220</v>
      </c>
      <c r="F10" s="779" t="s">
        <v>219</v>
      </c>
      <c r="G10" s="779"/>
      <c r="H10" s="779" t="s">
        <v>183</v>
      </c>
      <c r="I10" s="779"/>
      <c r="J10" s="794" t="s">
        <v>437</v>
      </c>
      <c r="K10" s="779" t="s">
        <v>185</v>
      </c>
      <c r="L10" s="779" t="s">
        <v>412</v>
      </c>
      <c r="M10" s="779" t="s">
        <v>237</v>
      </c>
    </row>
    <row r="11" spans="1:13" ht="12.75">
      <c r="A11" s="781"/>
      <c r="B11" s="779"/>
      <c r="C11" s="779"/>
      <c r="D11" s="779"/>
      <c r="E11" s="779"/>
      <c r="F11" s="779"/>
      <c r="G11" s="779"/>
      <c r="H11" s="779"/>
      <c r="I11" s="779"/>
      <c r="J11" s="795"/>
      <c r="K11" s="779"/>
      <c r="L11" s="779"/>
      <c r="M11" s="779"/>
    </row>
    <row r="12" spans="1:13" ht="27" customHeight="1">
      <c r="A12" s="782"/>
      <c r="B12" s="779"/>
      <c r="C12" s="779"/>
      <c r="D12" s="779"/>
      <c r="E12" s="779"/>
      <c r="F12" s="256" t="s">
        <v>184</v>
      </c>
      <c r="G12" s="256" t="s">
        <v>238</v>
      </c>
      <c r="H12" s="256" t="s">
        <v>184</v>
      </c>
      <c r="I12" s="256" t="s">
        <v>238</v>
      </c>
      <c r="J12" s="796"/>
      <c r="K12" s="779"/>
      <c r="L12" s="779"/>
      <c r="M12" s="779"/>
    </row>
    <row r="13" spans="1:13" ht="12.75">
      <c r="A13" s="138">
        <v>1</v>
      </c>
      <c r="B13" s="138">
        <v>2</v>
      </c>
      <c r="C13" s="138">
        <v>3</v>
      </c>
      <c r="D13" s="138">
        <v>4</v>
      </c>
      <c r="E13" s="138">
        <v>5</v>
      </c>
      <c r="F13" s="138">
        <v>6</v>
      </c>
      <c r="G13" s="138">
        <v>7</v>
      </c>
      <c r="H13" s="138">
        <v>8</v>
      </c>
      <c r="I13" s="138">
        <v>9</v>
      </c>
      <c r="J13" s="236">
        <v>10</v>
      </c>
      <c r="K13" s="138">
        <v>11</v>
      </c>
      <c r="L13" s="157">
        <v>12</v>
      </c>
      <c r="M13" s="157">
        <v>13</v>
      </c>
    </row>
    <row r="14" spans="1:18" ht="15">
      <c r="A14" s="8">
        <v>1</v>
      </c>
      <c r="B14" s="19" t="s">
        <v>476</v>
      </c>
      <c r="C14" s="467">
        <v>56.65</v>
      </c>
      <c r="D14" s="467">
        <v>0</v>
      </c>
      <c r="E14" s="467">
        <f>289.51*C14/300.2</f>
        <v>54.632716522318454</v>
      </c>
      <c r="F14" s="326">
        <f>'T6_FG_py_Utlsn'!E12+'T6A_FG_Upy_Utlsn '!E12</f>
        <v>1718.6100536569143</v>
      </c>
      <c r="G14" s="467">
        <f>F14*3000/100000</f>
        <v>51.55830160970743</v>
      </c>
      <c r="H14" s="326">
        <f>F14</f>
        <v>1718.6100536569143</v>
      </c>
      <c r="I14" s="326">
        <f>G14</f>
        <v>51.55830160970743</v>
      </c>
      <c r="J14" s="784" t="s">
        <v>678</v>
      </c>
      <c r="K14" s="467">
        <f>(D14+E14)-I14</f>
        <v>3.074414912611026</v>
      </c>
      <c r="L14" s="787">
        <v>0</v>
      </c>
      <c r="M14" s="787">
        <v>0</v>
      </c>
      <c r="O14" s="466"/>
      <c r="R14" s="466"/>
    </row>
    <row r="15" spans="1:18" ht="15">
      <c r="A15" s="8">
        <v>2</v>
      </c>
      <c r="B15" s="19" t="s">
        <v>477</v>
      </c>
      <c r="C15" s="467">
        <v>41.04</v>
      </c>
      <c r="D15" s="467">
        <v>0</v>
      </c>
      <c r="E15" s="467">
        <f aca="true" t="shared" si="0" ref="E15:E21">289.51*C15/300.2</f>
        <v>39.57858227848101</v>
      </c>
      <c r="F15" s="326">
        <f>'T6_FG_py_Utlsn'!E13+'T6A_FG_Upy_Utlsn '!E13</f>
        <v>1241.5755402576197</v>
      </c>
      <c r="G15" s="467">
        <f aca="true" t="shared" si="1" ref="G15:G21">F15*3000/100000</f>
        <v>37.24726620772859</v>
      </c>
      <c r="H15" s="326">
        <f aca="true" t="shared" si="2" ref="H15:H21">F15</f>
        <v>1241.5755402576197</v>
      </c>
      <c r="I15" s="326">
        <f aca="true" t="shared" si="3" ref="I15:I21">G15</f>
        <v>37.24726620772859</v>
      </c>
      <c r="J15" s="785"/>
      <c r="K15" s="467">
        <f aca="true" t="shared" si="4" ref="K15:K21">(D15+E15)-I15</f>
        <v>2.3313160707524148</v>
      </c>
      <c r="L15" s="788"/>
      <c r="M15" s="788"/>
      <c r="O15" s="466"/>
      <c r="R15" s="466"/>
    </row>
    <row r="16" spans="1:18" ht="15">
      <c r="A16" s="8">
        <v>3</v>
      </c>
      <c r="B16" s="19" t="s">
        <v>478</v>
      </c>
      <c r="C16" s="467">
        <v>24.56</v>
      </c>
      <c r="D16" s="467">
        <v>0</v>
      </c>
      <c r="E16" s="467">
        <f t="shared" si="0"/>
        <v>23.68542838107928</v>
      </c>
      <c r="F16" s="326">
        <f>'T6_FG_py_Utlsn'!E14+'T6A_FG_Upy_Utlsn '!E14</f>
        <v>745.880666340626</v>
      </c>
      <c r="G16" s="467">
        <f t="shared" si="1"/>
        <v>22.37641999021878</v>
      </c>
      <c r="H16" s="326">
        <f t="shared" si="2"/>
        <v>745.880666340626</v>
      </c>
      <c r="I16" s="326">
        <f t="shared" si="3"/>
        <v>22.37641999021878</v>
      </c>
      <c r="J16" s="785"/>
      <c r="K16" s="467">
        <f t="shared" si="4"/>
        <v>1.3090083908605017</v>
      </c>
      <c r="L16" s="788"/>
      <c r="M16" s="788"/>
      <c r="O16" s="466"/>
      <c r="R16" s="466"/>
    </row>
    <row r="17" spans="1:18" ht="15">
      <c r="A17" s="8">
        <v>4</v>
      </c>
      <c r="B17" s="19" t="s">
        <v>479</v>
      </c>
      <c r="C17" s="467">
        <v>34.97</v>
      </c>
      <c r="D17" s="467">
        <v>0</v>
      </c>
      <c r="E17" s="467">
        <f t="shared" si="0"/>
        <v>33.72473251165889</v>
      </c>
      <c r="F17" s="326">
        <f>'T6_FG_py_Utlsn'!E15+'T6A_FG_Upy_Utlsn '!E15</f>
        <v>1060.0155201221112</v>
      </c>
      <c r="G17" s="467">
        <f t="shared" si="1"/>
        <v>31.800465603663334</v>
      </c>
      <c r="H17" s="326">
        <f t="shared" si="2"/>
        <v>1060.0155201221112</v>
      </c>
      <c r="I17" s="326">
        <f t="shared" si="3"/>
        <v>31.800465603663334</v>
      </c>
      <c r="J17" s="785"/>
      <c r="K17" s="467">
        <f t="shared" si="4"/>
        <v>1.924266907995559</v>
      </c>
      <c r="L17" s="788"/>
      <c r="M17" s="788"/>
      <c r="O17" s="466"/>
      <c r="R17" s="466"/>
    </row>
    <row r="18" spans="1:18" ht="15">
      <c r="A18" s="8">
        <v>5</v>
      </c>
      <c r="B18" s="19" t="s">
        <v>480</v>
      </c>
      <c r="C18" s="467">
        <v>36.77</v>
      </c>
      <c r="D18" s="467">
        <v>0</v>
      </c>
      <c r="E18" s="467">
        <f t="shared" si="0"/>
        <v>35.46063524317122</v>
      </c>
      <c r="F18" s="326">
        <f>'T6_FG_py_Utlsn'!E16+'T6A_FG_Upy_Utlsn '!E16</f>
        <v>1120.1206841121261</v>
      </c>
      <c r="G18" s="467">
        <f t="shared" si="1"/>
        <v>33.60362052336379</v>
      </c>
      <c r="H18" s="326">
        <f t="shared" si="2"/>
        <v>1120.1206841121261</v>
      </c>
      <c r="I18" s="326">
        <f t="shared" si="3"/>
        <v>33.60362052336379</v>
      </c>
      <c r="J18" s="785"/>
      <c r="K18" s="467">
        <f t="shared" si="4"/>
        <v>1.857014719807431</v>
      </c>
      <c r="L18" s="788"/>
      <c r="M18" s="788"/>
      <c r="O18" s="466"/>
      <c r="R18" s="466"/>
    </row>
    <row r="19" spans="1:18" s="136" customFormat="1" ht="15">
      <c r="A19" s="8">
        <v>6</v>
      </c>
      <c r="B19" s="19" t="s">
        <v>481</v>
      </c>
      <c r="C19" s="467">
        <v>27.25</v>
      </c>
      <c r="D19" s="467">
        <v>0</v>
      </c>
      <c r="E19" s="467">
        <f t="shared" si="0"/>
        <v>26.279638574283812</v>
      </c>
      <c r="F19" s="326">
        <f>'T6_FG_py_Utlsn'!E17+'T6A_FG_Upy_Utlsn '!E17</f>
        <v>821.3616346392073</v>
      </c>
      <c r="G19" s="467">
        <f t="shared" si="1"/>
        <v>24.640849039176217</v>
      </c>
      <c r="H19" s="326">
        <f t="shared" si="2"/>
        <v>821.3616346392073</v>
      </c>
      <c r="I19" s="326">
        <f t="shared" si="3"/>
        <v>24.640849039176217</v>
      </c>
      <c r="J19" s="785"/>
      <c r="K19" s="467">
        <f t="shared" si="4"/>
        <v>1.6387895351075947</v>
      </c>
      <c r="L19" s="788"/>
      <c r="M19" s="788"/>
      <c r="N19" s="133"/>
      <c r="O19" s="466"/>
      <c r="P19" s="133"/>
      <c r="R19" s="466"/>
    </row>
    <row r="20" spans="1:18" s="136" customFormat="1" ht="15">
      <c r="A20" s="8">
        <v>7</v>
      </c>
      <c r="B20" s="19" t="s">
        <v>482</v>
      </c>
      <c r="C20" s="467">
        <v>40.5</v>
      </c>
      <c r="D20" s="467">
        <v>0</v>
      </c>
      <c r="E20" s="467">
        <f t="shared" si="0"/>
        <v>39.05781145902731</v>
      </c>
      <c r="F20" s="326">
        <f>'T6_FG_py_Utlsn'!E18+'T6A_FG_Upy_Utlsn '!E18</f>
        <v>1209.4332644274048</v>
      </c>
      <c r="G20" s="467">
        <f t="shared" si="1"/>
        <v>36.28299793282214</v>
      </c>
      <c r="H20" s="326">
        <f t="shared" si="2"/>
        <v>1209.4332644274048</v>
      </c>
      <c r="I20" s="326">
        <f t="shared" si="3"/>
        <v>36.28299793282214</v>
      </c>
      <c r="J20" s="785"/>
      <c r="K20" s="467">
        <f t="shared" si="4"/>
        <v>2.774813526205172</v>
      </c>
      <c r="L20" s="788"/>
      <c r="M20" s="788"/>
      <c r="N20" s="133"/>
      <c r="O20" s="466"/>
      <c r="P20" s="133"/>
      <c r="R20" s="466"/>
    </row>
    <row r="21" spans="1:18" ht="15.75" customHeight="1">
      <c r="A21" s="8">
        <v>8</v>
      </c>
      <c r="B21" s="19" t="s">
        <v>483</v>
      </c>
      <c r="C21" s="467">
        <v>38.46</v>
      </c>
      <c r="D21" s="467">
        <v>0</v>
      </c>
      <c r="E21" s="467">
        <f t="shared" si="0"/>
        <v>37.09045502998001</v>
      </c>
      <c r="F21" s="326">
        <f>'T6_FG_py_Utlsn'!E19+'T6A_FG_Upy_Utlsn '!E19</f>
        <v>1153.4126364439917</v>
      </c>
      <c r="G21" s="467">
        <f t="shared" si="1"/>
        <v>34.60237909331975</v>
      </c>
      <c r="H21" s="326">
        <f t="shared" si="2"/>
        <v>1153.4126364439917</v>
      </c>
      <c r="I21" s="326">
        <f t="shared" si="3"/>
        <v>34.60237909331975</v>
      </c>
      <c r="J21" s="786"/>
      <c r="K21" s="467">
        <f t="shared" si="4"/>
        <v>2.488075936660266</v>
      </c>
      <c r="L21" s="789"/>
      <c r="M21" s="789"/>
      <c r="O21" s="466"/>
      <c r="R21" s="466"/>
    </row>
    <row r="22" spans="1:18" ht="15.75" customHeight="1">
      <c r="A22" s="3"/>
      <c r="B22" s="27" t="s">
        <v>484</v>
      </c>
      <c r="C22" s="614">
        <f>SUM(C14:C21)</f>
        <v>300.2</v>
      </c>
      <c r="D22" s="614">
        <f aca="true" t="shared" si="5" ref="D22:M22">SUM(D14:D21)</f>
        <v>0</v>
      </c>
      <c r="E22" s="614">
        <f t="shared" si="5"/>
        <v>289.51</v>
      </c>
      <c r="F22" s="326">
        <f t="shared" si="5"/>
        <v>9070.41</v>
      </c>
      <c r="G22" s="431">
        <f t="shared" si="5"/>
        <v>272.1123</v>
      </c>
      <c r="H22" s="326">
        <f t="shared" si="5"/>
        <v>9070.41</v>
      </c>
      <c r="I22" s="326">
        <f t="shared" si="5"/>
        <v>272.1123</v>
      </c>
      <c r="J22" s="326"/>
      <c r="K22" s="326">
        <f t="shared" si="5"/>
        <v>17.397699999999965</v>
      </c>
      <c r="L22" s="468">
        <f t="shared" si="5"/>
        <v>0</v>
      </c>
      <c r="M22" s="468">
        <f t="shared" si="5"/>
        <v>0</v>
      </c>
      <c r="O22" s="466"/>
      <c r="R22" s="466"/>
    </row>
    <row r="23" spans="9:12" ht="12.75">
      <c r="I23" s="332"/>
      <c r="J23" s="332"/>
      <c r="K23" s="332"/>
      <c r="L23" s="332"/>
    </row>
    <row r="24" spans="1:12" ht="12.75">
      <c r="A24" s="188" t="s">
        <v>559</v>
      </c>
      <c r="B24" s="188" t="s">
        <v>679</v>
      </c>
      <c r="I24" s="86"/>
      <c r="J24" s="86"/>
      <c r="K24" s="86" t="s">
        <v>10</v>
      </c>
      <c r="L24" s="86"/>
    </row>
    <row r="25" spans="1:13" ht="12.75">
      <c r="A25" s="188"/>
      <c r="B25" s="188"/>
      <c r="I25" s="86"/>
      <c r="J25" s="86"/>
      <c r="K25" s="86"/>
      <c r="L25" s="86"/>
      <c r="M25" s="133" t="s">
        <v>10</v>
      </c>
    </row>
    <row r="26" spans="6:12" ht="15.75" customHeight="1">
      <c r="F26" s="133" t="s">
        <v>10</v>
      </c>
      <c r="I26" s="86"/>
      <c r="J26" s="86"/>
      <c r="K26" s="86"/>
      <c r="L26" s="86"/>
    </row>
    <row r="27" spans="2:12" s="16" customFormat="1" ht="12.75">
      <c r="B27" s="86"/>
      <c r="D27" s="133"/>
      <c r="E27" s="133"/>
      <c r="F27" s="86"/>
      <c r="G27" s="86"/>
      <c r="H27" s="86"/>
      <c r="I27" s="86"/>
      <c r="J27" s="783"/>
      <c r="K27" s="783"/>
      <c r="L27" s="783"/>
    </row>
    <row r="28" spans="2:12" s="16" customFormat="1" ht="12.75" customHeight="1">
      <c r="B28" s="86"/>
      <c r="D28" s="133"/>
      <c r="E28" s="133"/>
      <c r="F28" s="86"/>
      <c r="G28" s="86"/>
      <c r="H28" s="86"/>
      <c r="I28" s="86"/>
      <c r="J28" s="667" t="s">
        <v>819</v>
      </c>
      <c r="K28" s="667"/>
      <c r="L28" s="667"/>
    </row>
    <row r="29" spans="1:12" s="16" customFormat="1" ht="12.75" customHeight="1">
      <c r="A29" s="15" t="s">
        <v>18</v>
      </c>
      <c r="B29" s="86"/>
      <c r="D29" s="133"/>
      <c r="E29" s="133"/>
      <c r="F29" s="86"/>
      <c r="G29" s="86"/>
      <c r="H29" s="86"/>
      <c r="I29" s="86"/>
      <c r="J29" s="667" t="s">
        <v>488</v>
      </c>
      <c r="K29" s="667"/>
      <c r="L29" s="667"/>
    </row>
    <row r="30" spans="2:12" s="16" customFormat="1" ht="12.75">
      <c r="B30" s="15"/>
      <c r="D30" s="133"/>
      <c r="E30" s="133"/>
      <c r="F30" s="15"/>
      <c r="G30" s="16" t="s">
        <v>10</v>
      </c>
      <c r="J30" s="699" t="s">
        <v>19</v>
      </c>
      <c r="K30" s="699"/>
      <c r="L30" s="699"/>
    </row>
    <row r="31" spans="1:14" ht="12.75">
      <c r="A31" s="15"/>
      <c r="F31" s="16" t="s">
        <v>10</v>
      </c>
      <c r="G31" s="16"/>
      <c r="H31" s="16"/>
      <c r="I31" s="16"/>
      <c r="J31" s="237"/>
      <c r="K31" s="16"/>
      <c r="L31" s="16"/>
      <c r="M31" s="16"/>
      <c r="N31" s="16"/>
    </row>
  </sheetData>
  <sheetProtection/>
  <mergeCells count="25">
    <mergeCell ref="J30:L30"/>
    <mergeCell ref="H10:I11"/>
    <mergeCell ref="K10:K12"/>
    <mergeCell ref="F10:G11"/>
    <mergeCell ref="L10:L12"/>
    <mergeCell ref="J10:J12"/>
    <mergeCell ref="J29:L29"/>
    <mergeCell ref="J28:L28"/>
    <mergeCell ref="L14:L21"/>
    <mergeCell ref="K1:M1"/>
    <mergeCell ref="A6:M6"/>
    <mergeCell ref="A9:B9"/>
    <mergeCell ref="B10:B12"/>
    <mergeCell ref="A3:M3"/>
    <mergeCell ref="A4:M4"/>
    <mergeCell ref="G9:M9"/>
    <mergeCell ref="D10:D12"/>
    <mergeCell ref="L8:M8"/>
    <mergeCell ref="E10:E12"/>
    <mergeCell ref="M10:M12"/>
    <mergeCell ref="A10:A12"/>
    <mergeCell ref="C10:C12"/>
    <mergeCell ref="J27:L27"/>
    <mergeCell ref="J14:J21"/>
    <mergeCell ref="M14:M21"/>
  </mergeCells>
  <printOptions horizontalCentered="1"/>
  <pageMargins left="0.51" right="0.22" top="1.24" bottom="0" header="0.94" footer="0.31496062992125984"/>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sheetPr>
    <pageSetUpPr fitToPage="1"/>
  </sheetPr>
  <dimension ref="A1:S30"/>
  <sheetViews>
    <sheetView view="pageBreakPreview" zoomScaleSheetLayoutView="100" zoomScalePageLayoutView="0" workbookViewId="0" topLeftCell="A1">
      <selection activeCell="F16" sqref="F16:H17"/>
    </sheetView>
  </sheetViews>
  <sheetFormatPr defaultColWidth="9.140625" defaultRowHeight="12.75"/>
  <cols>
    <col min="1" max="1" width="4.421875" style="16" customWidth="1"/>
    <col min="2" max="2" width="12.140625" style="16" customWidth="1"/>
    <col min="3" max="3" width="10.57421875" style="16" customWidth="1"/>
    <col min="4" max="4" width="9.8515625" style="16" customWidth="1"/>
    <col min="5" max="5" width="8.7109375" style="16" customWidth="1"/>
    <col min="6" max="6" width="14.28125" style="16" customWidth="1"/>
    <col min="7" max="7" width="13.8515625" style="16" customWidth="1"/>
    <col min="8" max="8" width="11.57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9.140625" style="16" customWidth="1"/>
  </cols>
  <sheetData>
    <row r="1" spans="4:16" ht="15">
      <c r="D1" s="31"/>
      <c r="E1" s="31"/>
      <c r="F1" s="31"/>
      <c r="G1" s="31"/>
      <c r="H1" s="31"/>
      <c r="I1" s="31"/>
      <c r="J1" s="31"/>
      <c r="K1" s="31"/>
      <c r="L1" s="777" t="s">
        <v>438</v>
      </c>
      <c r="M1" s="777"/>
      <c r="N1" s="777"/>
      <c r="O1" s="44"/>
      <c r="P1" s="44"/>
    </row>
    <row r="2" spans="1:16" ht="15">
      <c r="A2" s="751" t="s">
        <v>0</v>
      </c>
      <c r="B2" s="751"/>
      <c r="C2" s="751"/>
      <c r="D2" s="751"/>
      <c r="E2" s="751"/>
      <c r="F2" s="751"/>
      <c r="G2" s="751"/>
      <c r="H2" s="751"/>
      <c r="I2" s="751"/>
      <c r="J2" s="751"/>
      <c r="K2" s="751"/>
      <c r="L2" s="751"/>
      <c r="M2" s="46"/>
      <c r="N2" s="46"/>
      <c r="O2" s="46"/>
      <c r="P2" s="46"/>
    </row>
    <row r="3" spans="1:16" ht="20.25">
      <c r="A3" s="778" t="s">
        <v>854</v>
      </c>
      <c r="B3" s="778"/>
      <c r="C3" s="778"/>
      <c r="D3" s="778"/>
      <c r="E3" s="778"/>
      <c r="F3" s="778"/>
      <c r="G3" s="778"/>
      <c r="H3" s="778"/>
      <c r="I3" s="778"/>
      <c r="J3" s="778"/>
      <c r="K3" s="778"/>
      <c r="L3" s="778"/>
      <c r="M3" s="45"/>
      <c r="N3" s="45"/>
      <c r="O3" s="45"/>
      <c r="P3" s="45"/>
    </row>
    <row r="4" ht="10.5" customHeight="1"/>
    <row r="5" spans="1:12" ht="19.5" customHeight="1">
      <c r="A5" s="752" t="s">
        <v>913</v>
      </c>
      <c r="B5" s="752"/>
      <c r="C5" s="752"/>
      <c r="D5" s="752"/>
      <c r="E5" s="752"/>
      <c r="F5" s="752"/>
      <c r="G5" s="752"/>
      <c r="H5" s="752"/>
      <c r="I5" s="752"/>
      <c r="J5" s="752"/>
      <c r="K5" s="752"/>
      <c r="L5" s="752"/>
    </row>
    <row r="6" spans="1:12" ht="12.75">
      <c r="A6" s="22"/>
      <c r="B6" s="22"/>
      <c r="C6" s="22"/>
      <c r="D6" s="22"/>
      <c r="E6" s="22"/>
      <c r="F6" s="22"/>
      <c r="G6" s="22"/>
      <c r="H6" s="22"/>
      <c r="I6" s="22"/>
      <c r="J6" s="22"/>
      <c r="K6" s="22"/>
      <c r="L6" s="22"/>
    </row>
    <row r="7" spans="1:12" ht="12.75">
      <c r="A7" s="699" t="s">
        <v>475</v>
      </c>
      <c r="B7" s="699"/>
      <c r="F7" s="773" t="s">
        <v>16</v>
      </c>
      <c r="G7" s="773"/>
      <c r="H7" s="773"/>
      <c r="I7" s="773"/>
      <c r="J7" s="773"/>
      <c r="K7" s="773"/>
      <c r="L7" s="773"/>
    </row>
    <row r="8" spans="1:12" ht="12.75">
      <c r="A8" s="15"/>
      <c r="F8" s="17"/>
      <c r="G8" s="103"/>
      <c r="H8" s="103"/>
      <c r="I8" s="742" t="s">
        <v>933</v>
      </c>
      <c r="J8" s="742"/>
      <c r="K8" s="742"/>
      <c r="L8" s="742"/>
    </row>
    <row r="9" spans="1:19" s="282" customFormat="1" ht="12.75">
      <c r="A9" s="653" t="s">
        <v>496</v>
      </c>
      <c r="B9" s="653" t="s">
        <v>3</v>
      </c>
      <c r="C9" s="683" t="s">
        <v>22</v>
      </c>
      <c r="D9" s="753"/>
      <c r="E9" s="753"/>
      <c r="F9" s="753"/>
      <c r="G9" s="753"/>
      <c r="H9" s="683" t="s">
        <v>23</v>
      </c>
      <c r="I9" s="753"/>
      <c r="J9" s="753"/>
      <c r="K9" s="753"/>
      <c r="L9" s="753"/>
      <c r="R9" s="158"/>
      <c r="S9" s="283"/>
    </row>
    <row r="10" spans="1:12" s="282" customFormat="1" ht="63.75">
      <c r="A10" s="653"/>
      <c r="B10" s="653"/>
      <c r="C10" s="257" t="s">
        <v>910</v>
      </c>
      <c r="D10" s="257" t="s">
        <v>939</v>
      </c>
      <c r="E10" s="257" t="s">
        <v>66</v>
      </c>
      <c r="F10" s="257" t="s">
        <v>67</v>
      </c>
      <c r="G10" s="257" t="s">
        <v>369</v>
      </c>
      <c r="H10" s="257" t="s">
        <v>910</v>
      </c>
      <c r="I10" s="257" t="s">
        <v>939</v>
      </c>
      <c r="J10" s="257" t="s">
        <v>66</v>
      </c>
      <c r="K10" s="257" t="s">
        <v>67</v>
      </c>
      <c r="L10" s="257" t="s">
        <v>370</v>
      </c>
    </row>
    <row r="11" spans="1:12" s="15" customFormat="1" ht="12.75">
      <c r="A11" s="5">
        <v>1</v>
      </c>
      <c r="B11" s="5">
        <v>2</v>
      </c>
      <c r="C11" s="5">
        <v>3</v>
      </c>
      <c r="D11" s="5">
        <v>4</v>
      </c>
      <c r="E11" s="5">
        <v>5</v>
      </c>
      <c r="F11" s="5">
        <v>6</v>
      </c>
      <c r="G11" s="5">
        <v>7</v>
      </c>
      <c r="H11" s="5">
        <v>8</v>
      </c>
      <c r="I11" s="5">
        <v>9</v>
      </c>
      <c r="J11" s="5">
        <v>10</v>
      </c>
      <c r="K11" s="5">
        <v>11</v>
      </c>
      <c r="L11" s="5">
        <v>12</v>
      </c>
    </row>
    <row r="12" spans="1:12" ht="12.75">
      <c r="A12" s="8">
        <v>1</v>
      </c>
      <c r="B12" s="19" t="s">
        <v>476</v>
      </c>
      <c r="C12" s="323"/>
      <c r="D12" s="19"/>
      <c r="E12" s="323"/>
      <c r="F12" s="323"/>
      <c r="G12" s="323"/>
      <c r="H12" s="25"/>
      <c r="I12" s="25"/>
      <c r="J12" s="25"/>
      <c r="K12" s="19"/>
      <c r="L12" s="19"/>
    </row>
    <row r="13" spans="1:12" ht="12.75">
      <c r="A13" s="8">
        <v>2</v>
      </c>
      <c r="B13" s="19" t="s">
        <v>477</v>
      </c>
      <c r="C13" s="323"/>
      <c r="D13" s="19"/>
      <c r="E13" s="323"/>
      <c r="F13" s="323"/>
      <c r="G13" s="323"/>
      <c r="H13" s="25"/>
      <c r="I13" s="25"/>
      <c r="J13" s="25"/>
      <c r="K13" s="19"/>
      <c r="L13" s="19"/>
    </row>
    <row r="14" spans="1:12" ht="12.75">
      <c r="A14" s="8">
        <v>3</v>
      </c>
      <c r="B14" s="19" t="s">
        <v>478</v>
      </c>
      <c r="C14" s="323"/>
      <c r="D14" s="19"/>
      <c r="E14" s="323"/>
      <c r="F14" s="323"/>
      <c r="G14" s="323"/>
      <c r="H14" s="25"/>
      <c r="I14" s="25"/>
      <c r="J14" s="25"/>
      <c r="K14" s="19"/>
      <c r="L14" s="19"/>
    </row>
    <row r="15" spans="1:12" ht="12.75">
      <c r="A15" s="8">
        <v>4</v>
      </c>
      <c r="B15" s="19" t="s">
        <v>479</v>
      </c>
      <c r="C15" s="323"/>
      <c r="D15" s="19"/>
      <c r="E15" s="323"/>
      <c r="F15" s="323"/>
      <c r="G15" s="323"/>
      <c r="H15" s="25"/>
      <c r="I15" s="25"/>
      <c r="J15" s="25"/>
      <c r="K15" s="19"/>
      <c r="L15" s="19"/>
    </row>
    <row r="16" spans="1:12" ht="12.75">
      <c r="A16" s="8">
        <v>5</v>
      </c>
      <c r="B16" s="19" t="s">
        <v>480</v>
      </c>
      <c r="C16" s="323"/>
      <c r="D16" s="19"/>
      <c r="E16" s="323"/>
      <c r="F16" s="798" t="s">
        <v>512</v>
      </c>
      <c r="G16" s="799"/>
      <c r="H16" s="800"/>
      <c r="I16" s="25"/>
      <c r="J16" s="25"/>
      <c r="K16" s="19"/>
      <c r="L16" s="19"/>
    </row>
    <row r="17" spans="1:12" ht="12.75">
      <c r="A17" s="8">
        <v>6</v>
      </c>
      <c r="B17" s="19" t="s">
        <v>481</v>
      </c>
      <c r="C17" s="323"/>
      <c r="D17" s="19"/>
      <c r="E17" s="323"/>
      <c r="F17" s="801"/>
      <c r="G17" s="802"/>
      <c r="H17" s="803"/>
      <c r="I17" s="25"/>
      <c r="J17" s="25"/>
      <c r="K17" s="19"/>
      <c r="L17" s="19"/>
    </row>
    <row r="18" spans="1:12" ht="12.75">
      <c r="A18" s="8">
        <v>7</v>
      </c>
      <c r="B18" s="19" t="s">
        <v>482</v>
      </c>
      <c r="C18" s="323"/>
      <c r="D18" s="19"/>
      <c r="E18" s="323"/>
      <c r="F18" s="323"/>
      <c r="G18" s="323"/>
      <c r="H18" s="25"/>
      <c r="I18" s="25"/>
      <c r="J18" s="25"/>
      <c r="K18" s="19"/>
      <c r="L18" s="19"/>
    </row>
    <row r="19" spans="1:12" ht="12.75">
      <c r="A19" s="8">
        <v>8</v>
      </c>
      <c r="B19" s="19" t="s">
        <v>483</v>
      </c>
      <c r="C19" s="323"/>
      <c r="D19" s="19"/>
      <c r="E19" s="323"/>
      <c r="F19" s="323"/>
      <c r="G19" s="323"/>
      <c r="H19" s="25"/>
      <c r="I19" s="25"/>
      <c r="J19" s="25"/>
      <c r="K19" s="19"/>
      <c r="L19" s="19"/>
    </row>
    <row r="20" spans="1:12" ht="12.75">
      <c r="A20" s="3"/>
      <c r="B20" s="27" t="s">
        <v>484</v>
      </c>
      <c r="C20" s="323"/>
      <c r="D20" s="323"/>
      <c r="E20" s="323"/>
      <c r="F20" s="323"/>
      <c r="G20" s="323"/>
      <c r="H20" s="323"/>
      <c r="I20" s="323"/>
      <c r="J20" s="323"/>
      <c r="K20" s="323"/>
      <c r="L20" s="323"/>
    </row>
    <row r="21" spans="1:12" ht="12.75">
      <c r="A21" s="21" t="s">
        <v>368</v>
      </c>
      <c r="B21" s="21"/>
      <c r="C21" s="21"/>
      <c r="D21" s="21"/>
      <c r="E21" s="21"/>
      <c r="F21" s="21"/>
      <c r="G21" s="21"/>
      <c r="H21" s="21"/>
      <c r="I21" s="21"/>
      <c r="J21" s="21"/>
      <c r="K21" s="21"/>
      <c r="L21" s="21"/>
    </row>
    <row r="22" spans="1:12" ht="12.75">
      <c r="A22" s="20" t="s">
        <v>156</v>
      </c>
      <c r="B22" s="21"/>
      <c r="C22" s="21"/>
      <c r="D22" s="21"/>
      <c r="E22" s="21"/>
      <c r="F22" s="21"/>
      <c r="G22" s="21"/>
      <c r="H22" s="21"/>
      <c r="I22" s="21"/>
      <c r="J22" s="21"/>
      <c r="K22" s="21"/>
      <c r="L22" s="21"/>
    </row>
    <row r="23" spans="1:12" ht="15.75" customHeight="1">
      <c r="A23" s="337"/>
      <c r="B23" s="797"/>
      <c r="C23" s="797"/>
      <c r="D23" s="797"/>
      <c r="E23" s="797"/>
      <c r="F23" s="797"/>
      <c r="G23" s="797"/>
      <c r="H23" s="797"/>
      <c r="I23" s="797"/>
      <c r="J23" s="797"/>
      <c r="K23" s="15"/>
      <c r="L23" s="15"/>
    </row>
    <row r="24" spans="1:12" ht="15.75" customHeight="1">
      <c r="A24" s="337"/>
      <c r="B24" s="349"/>
      <c r="C24" s="349"/>
      <c r="D24" s="349"/>
      <c r="E24" s="349"/>
      <c r="F24" s="349"/>
      <c r="G24" s="349"/>
      <c r="H24" s="349"/>
      <c r="I24" s="349"/>
      <c r="J24" s="349"/>
      <c r="K24" s="15"/>
      <c r="L24" s="15"/>
    </row>
    <row r="25" spans="2:12" ht="12.75">
      <c r="B25" s="86"/>
      <c r="C25" s="86"/>
      <c r="D25" s="86"/>
      <c r="E25" s="86"/>
      <c r="F25" s="86"/>
      <c r="G25" s="86"/>
      <c r="H25" s="86"/>
      <c r="I25" s="86"/>
      <c r="J25" s="775"/>
      <c r="K25" s="775"/>
      <c r="L25" s="775"/>
    </row>
    <row r="26" spans="2:12" ht="12.75" customHeight="1">
      <c r="B26" s="86"/>
      <c r="C26" s="86"/>
      <c r="D26" s="86"/>
      <c r="E26" s="86"/>
      <c r="F26" s="86"/>
      <c r="G26" s="86"/>
      <c r="H26" s="86"/>
      <c r="I26" s="86"/>
      <c r="J26" s="775" t="s">
        <v>819</v>
      </c>
      <c r="K26" s="775"/>
      <c r="L26" s="775"/>
    </row>
    <row r="27" spans="2:12" ht="12.75" customHeight="1">
      <c r="B27" s="86"/>
      <c r="C27" s="86"/>
      <c r="D27" s="86"/>
      <c r="E27" s="86"/>
      <c r="F27" s="86"/>
      <c r="G27" s="86"/>
      <c r="H27" s="86"/>
      <c r="I27" s="86"/>
      <c r="J27" s="775" t="s">
        <v>488</v>
      </c>
      <c r="K27" s="775"/>
      <c r="L27" s="775"/>
    </row>
    <row r="28" spans="1:12" ht="12.75">
      <c r="A28" s="15" t="s">
        <v>18</v>
      </c>
      <c r="B28" s="15"/>
      <c r="C28" s="15"/>
      <c r="D28" s="15"/>
      <c r="E28" s="15"/>
      <c r="F28" s="15"/>
      <c r="J28" s="797" t="s">
        <v>543</v>
      </c>
      <c r="K28" s="797"/>
      <c r="L28" s="797"/>
    </row>
    <row r="29" ht="12.75">
      <c r="A29" s="15"/>
    </row>
    <row r="30" spans="1:12" ht="12.75">
      <c r="A30" s="758"/>
      <c r="B30" s="758"/>
      <c r="C30" s="758"/>
      <c r="D30" s="758"/>
      <c r="E30" s="758"/>
      <c r="F30" s="758"/>
      <c r="G30" s="758"/>
      <c r="H30" s="758"/>
      <c r="I30" s="758"/>
      <c r="J30" s="758"/>
      <c r="K30" s="758"/>
      <c r="L30" s="758"/>
    </row>
  </sheetData>
  <sheetProtection/>
  <mergeCells count="18">
    <mergeCell ref="F16:H17"/>
    <mergeCell ref="B23:J23"/>
    <mergeCell ref="L1:N1"/>
    <mergeCell ref="A2:L2"/>
    <mergeCell ref="A3:L3"/>
    <mergeCell ref="A5:L5"/>
    <mergeCell ref="A7:B7"/>
    <mergeCell ref="F7:L7"/>
    <mergeCell ref="A30:L30"/>
    <mergeCell ref="I8:L8"/>
    <mergeCell ref="A9:A10"/>
    <mergeCell ref="B9:B10"/>
    <mergeCell ref="C9:G9"/>
    <mergeCell ref="H9:L9"/>
    <mergeCell ref="J25:L25"/>
    <mergeCell ref="J26:L26"/>
    <mergeCell ref="J27:L27"/>
    <mergeCell ref="J28:L28"/>
  </mergeCells>
  <printOptions horizontalCentered="1"/>
  <pageMargins left="0.54" right="0.25" top="1.27" bottom="0" header="0.91" footer="0.31496062992125984"/>
  <pageSetup fitToHeight="1" fitToWidth="1" horizontalDpi="600" verticalDpi="600" orientation="landscape" paperSize="9" r:id="rId1"/>
  <rowBreaks count="1" manualBreakCount="1">
    <brk id="29"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Y40"/>
  <sheetViews>
    <sheetView view="pageBreakPreview" zoomScaleSheetLayoutView="100" zoomScalePageLayoutView="0" workbookViewId="0" topLeftCell="A1">
      <selection activeCell="Q23" sqref="Q23"/>
    </sheetView>
  </sheetViews>
  <sheetFormatPr defaultColWidth="9.140625" defaultRowHeight="12.75"/>
  <cols>
    <col min="1" max="1" width="7.421875" style="16" customWidth="1"/>
    <col min="2" max="2" width="13.00390625" style="16" customWidth="1"/>
    <col min="3" max="5" width="9.28125" style="16" customWidth="1"/>
    <col min="6" max="8" width="8.57421875" style="16" customWidth="1"/>
    <col min="9" max="9" width="9.28125" style="16" customWidth="1"/>
    <col min="10" max="10" width="7.140625" style="16" customWidth="1"/>
    <col min="11" max="12" width="8.7109375" style="16" customWidth="1"/>
    <col min="13" max="13" width="7.8515625" style="16" customWidth="1"/>
    <col min="14" max="14" width="8.8515625" style="16" customWidth="1"/>
    <col min="15" max="15" width="10.57421875" style="16" customWidth="1"/>
    <col min="16" max="16" width="11.8515625" style="16" customWidth="1"/>
    <col min="17" max="17" width="13.140625" style="16" customWidth="1"/>
    <col min="18" max="18" width="9.140625" style="16" customWidth="1"/>
    <col min="19" max="19" width="9.57421875" style="16" bestFit="1" customWidth="1"/>
    <col min="20" max="16384" width="9.140625" style="16" customWidth="1"/>
  </cols>
  <sheetData>
    <row r="1" spans="8:21" ht="15">
      <c r="H1" s="31"/>
      <c r="I1" s="31"/>
      <c r="J1" s="31"/>
      <c r="K1" s="31"/>
      <c r="L1" s="31"/>
      <c r="M1" s="31"/>
      <c r="N1" s="31"/>
      <c r="O1" s="31"/>
      <c r="P1" s="805" t="s">
        <v>60</v>
      </c>
      <c r="Q1" s="805"/>
      <c r="T1" s="44"/>
      <c r="U1" s="44"/>
    </row>
    <row r="2" spans="1:21" ht="15">
      <c r="A2" s="751" t="s">
        <v>0</v>
      </c>
      <c r="B2" s="751"/>
      <c r="C2" s="751"/>
      <c r="D2" s="751"/>
      <c r="E2" s="751"/>
      <c r="F2" s="751"/>
      <c r="G2" s="751"/>
      <c r="H2" s="751"/>
      <c r="I2" s="751"/>
      <c r="J2" s="751"/>
      <c r="K2" s="751"/>
      <c r="L2" s="751"/>
      <c r="M2" s="751"/>
      <c r="N2" s="751"/>
      <c r="O2" s="751"/>
      <c r="P2" s="751"/>
      <c r="Q2" s="751"/>
      <c r="R2" s="46"/>
      <c r="S2" s="46"/>
      <c r="T2" s="46"/>
      <c r="U2" s="46"/>
    </row>
    <row r="3" spans="1:21" ht="20.25">
      <c r="A3" s="645" t="s">
        <v>854</v>
      </c>
      <c r="B3" s="645"/>
      <c r="C3" s="645"/>
      <c r="D3" s="645"/>
      <c r="E3" s="645"/>
      <c r="F3" s="645"/>
      <c r="G3" s="645"/>
      <c r="H3" s="645"/>
      <c r="I3" s="645"/>
      <c r="J3" s="645"/>
      <c r="K3" s="645"/>
      <c r="L3" s="645"/>
      <c r="M3" s="645"/>
      <c r="N3" s="645"/>
      <c r="O3" s="645"/>
      <c r="P3" s="645"/>
      <c r="Q3" s="645"/>
      <c r="R3" s="45"/>
      <c r="S3" s="45"/>
      <c r="T3" s="45"/>
      <c r="U3" s="45"/>
    </row>
    <row r="4" ht="10.5" customHeight="1"/>
    <row r="5" spans="1:17" ht="12.75">
      <c r="A5" s="24"/>
      <c r="B5" s="24"/>
      <c r="C5" s="24"/>
      <c r="D5" s="24"/>
      <c r="E5" s="23"/>
      <c r="F5" s="23"/>
      <c r="G5" s="23"/>
      <c r="H5" s="23"/>
      <c r="I5" s="23"/>
      <c r="J5" s="23"/>
      <c r="K5" s="23"/>
      <c r="L5" s="23"/>
      <c r="M5" s="23"/>
      <c r="N5" s="24"/>
      <c r="O5" s="24"/>
      <c r="P5" s="23"/>
      <c r="Q5" s="21"/>
    </row>
    <row r="6" spans="1:17" ht="18" customHeight="1">
      <c r="A6" s="752" t="s">
        <v>1000</v>
      </c>
      <c r="B6" s="752"/>
      <c r="C6" s="752"/>
      <c r="D6" s="752"/>
      <c r="E6" s="752"/>
      <c r="F6" s="752"/>
      <c r="G6" s="752"/>
      <c r="H6" s="752"/>
      <c r="I6" s="752"/>
      <c r="J6" s="752"/>
      <c r="K6" s="752"/>
      <c r="L6" s="752"/>
      <c r="M6" s="752"/>
      <c r="N6" s="752"/>
      <c r="O6" s="752"/>
      <c r="P6" s="752"/>
      <c r="Q6" s="752"/>
    </row>
    <row r="7" ht="9.75" customHeight="1"/>
    <row r="8" ht="0.75" customHeight="1"/>
    <row r="9" spans="1:19" ht="12.75">
      <c r="A9" s="699" t="s">
        <v>475</v>
      </c>
      <c r="B9" s="699"/>
      <c r="P9" s="697" t="s">
        <v>20</v>
      </c>
      <c r="Q9" s="806"/>
      <c r="R9" s="19"/>
      <c r="S9" s="21"/>
    </row>
    <row r="10" spans="1:17" ht="15.75">
      <c r="A10" s="14"/>
      <c r="N10" s="754" t="s">
        <v>933</v>
      </c>
      <c r="O10" s="754"/>
      <c r="P10" s="754"/>
      <c r="Q10" s="754"/>
    </row>
    <row r="11" spans="1:17" s="280" customFormat="1" ht="28.5" customHeight="1">
      <c r="A11" s="714" t="s">
        <v>2</v>
      </c>
      <c r="B11" s="714" t="s">
        <v>3</v>
      </c>
      <c r="C11" s="653" t="s">
        <v>914</v>
      </c>
      <c r="D11" s="653"/>
      <c r="E11" s="653"/>
      <c r="F11" s="653" t="s">
        <v>940</v>
      </c>
      <c r="G11" s="653"/>
      <c r="H11" s="653"/>
      <c r="I11" s="720" t="s">
        <v>377</v>
      </c>
      <c r="J11" s="721"/>
      <c r="K11" s="804"/>
      <c r="L11" s="720" t="s">
        <v>88</v>
      </c>
      <c r="M11" s="721"/>
      <c r="N11" s="804"/>
      <c r="O11" s="807" t="s">
        <v>941</v>
      </c>
      <c r="P11" s="808"/>
      <c r="Q11" s="809"/>
    </row>
    <row r="12" spans="1:17" s="280" customFormat="1" ht="34.5" customHeight="1">
      <c r="A12" s="716"/>
      <c r="B12" s="716"/>
      <c r="C12" s="257" t="s">
        <v>171</v>
      </c>
      <c r="D12" s="257" t="s">
        <v>372</v>
      </c>
      <c r="E12" s="257" t="s">
        <v>15</v>
      </c>
      <c r="F12" s="257" t="s">
        <v>171</v>
      </c>
      <c r="G12" s="257" t="s">
        <v>373</v>
      </c>
      <c r="H12" s="257" t="s">
        <v>15</v>
      </c>
      <c r="I12" s="257" t="s">
        <v>171</v>
      </c>
      <c r="J12" s="257" t="s">
        <v>373</v>
      </c>
      <c r="K12" s="257" t="s">
        <v>15</v>
      </c>
      <c r="L12" s="257" t="s">
        <v>171</v>
      </c>
      <c r="M12" s="257" t="s">
        <v>373</v>
      </c>
      <c r="N12" s="257" t="s">
        <v>15</v>
      </c>
      <c r="O12" s="257" t="s">
        <v>233</v>
      </c>
      <c r="P12" s="257" t="s">
        <v>374</v>
      </c>
      <c r="Q12" s="257" t="s">
        <v>107</v>
      </c>
    </row>
    <row r="13" spans="1:17" s="71" customFormat="1" ht="12.75">
      <c r="A13" s="68">
        <v>1</v>
      </c>
      <c r="B13" s="68">
        <v>2</v>
      </c>
      <c r="C13" s="68">
        <v>3</v>
      </c>
      <c r="D13" s="68">
        <v>4</v>
      </c>
      <c r="E13" s="68">
        <v>5</v>
      </c>
      <c r="F13" s="68">
        <v>6</v>
      </c>
      <c r="G13" s="68">
        <v>7</v>
      </c>
      <c r="H13" s="68">
        <v>8</v>
      </c>
      <c r="I13" s="68">
        <v>9</v>
      </c>
      <c r="J13" s="68">
        <v>10</v>
      </c>
      <c r="K13" s="68">
        <v>11</v>
      </c>
      <c r="L13" s="68">
        <v>12</v>
      </c>
      <c r="M13" s="68">
        <v>13</v>
      </c>
      <c r="N13" s="68">
        <v>14</v>
      </c>
      <c r="O13" s="68">
        <v>15</v>
      </c>
      <c r="P13" s="68">
        <v>16</v>
      </c>
      <c r="Q13" s="68">
        <v>17</v>
      </c>
    </row>
    <row r="14" spans="1:22" ht="12.75">
      <c r="A14" s="8">
        <v>1</v>
      </c>
      <c r="B14" s="19" t="s">
        <v>476</v>
      </c>
      <c r="C14" s="323">
        <f>2101.89*'enrolment vs availed_PY'!G11/272412</f>
        <v>387.7445860314523</v>
      </c>
      <c r="D14" s="323">
        <f>272.52*C14/2101.89</f>
        <v>50.272923219241434</v>
      </c>
      <c r="E14" s="323">
        <f>SUM(C14:D14)</f>
        <v>438.0175092506937</v>
      </c>
      <c r="F14" s="323">
        <f>91.293*C14/2101.89</f>
        <v>16.841207909343197</v>
      </c>
      <c r="G14" s="323">
        <f>6.823*D14/272.52</f>
        <v>1.2586678230033919</v>
      </c>
      <c r="H14" s="323">
        <f>SUM(F14:G14)</f>
        <v>18.09987573234659</v>
      </c>
      <c r="I14" s="323">
        <f>2015.123*C14/2101.89</f>
        <v>371.7383085877274</v>
      </c>
      <c r="J14" s="323">
        <f>265.693*D14/272.52</f>
        <v>49.013517499229096</v>
      </c>
      <c r="K14" s="323">
        <f>SUM(I14:J14)</f>
        <v>420.7518260869565</v>
      </c>
      <c r="L14" s="323">
        <f>(('enrolment vs availed_PY'!L11*45*3.91)/100000)+(('enrolment vs availed_PY'!L11*181*3.91)/100000)</f>
        <v>339.3166034</v>
      </c>
      <c r="M14" s="323">
        <f>'enrolment vs availed_PY'!Q11*0.5/100000</f>
        <v>43.39087</v>
      </c>
      <c r="N14" s="323">
        <f>SUM(L14:M14)</f>
        <v>382.7074734</v>
      </c>
      <c r="O14" s="323">
        <f>(F14+I14)-L14</f>
        <v>49.262913097070566</v>
      </c>
      <c r="P14" s="323">
        <f>(G14+J14)-M14</f>
        <v>6.8813153222324885</v>
      </c>
      <c r="Q14" s="323">
        <f>SUM(O14:P14)</f>
        <v>56.144228419303055</v>
      </c>
      <c r="R14" s="338"/>
      <c r="S14" s="338"/>
      <c r="T14" s="338"/>
      <c r="U14" s="338"/>
      <c r="V14" s="338"/>
    </row>
    <row r="15" spans="1:22" ht="12.75">
      <c r="A15" s="8">
        <v>2</v>
      </c>
      <c r="B15" s="19" t="s">
        <v>477</v>
      </c>
      <c r="C15" s="323">
        <f>2101.89*'enrolment vs availed_PY'!G12/272412</f>
        <v>285.3861262719704</v>
      </c>
      <c r="D15" s="323">
        <f aca="true" t="shared" si="0" ref="D15:D21">272.52*C15/2101.89</f>
        <v>37.00166380335668</v>
      </c>
      <c r="E15" s="323">
        <f aca="true" t="shared" si="1" ref="E15:E21">SUM(C15:D15)</f>
        <v>322.3877900753271</v>
      </c>
      <c r="F15" s="323">
        <f aca="true" t="shared" si="2" ref="F15:F21">91.293*C15/2101.89</f>
        <v>12.395394442976082</v>
      </c>
      <c r="G15" s="323">
        <f aca="true" t="shared" si="3" ref="G15:G21">6.823*D15/272.52</f>
        <v>0.92639935465398</v>
      </c>
      <c r="H15" s="323">
        <f aca="true" t="shared" si="4" ref="H15:H21">SUM(F15:G15)</f>
        <v>13.321793797630063</v>
      </c>
      <c r="I15" s="323">
        <f aca="true" t="shared" si="5" ref="I15:I21">2015.123*C15/2101.89</f>
        <v>273.60525381040486</v>
      </c>
      <c r="J15" s="323">
        <f aca="true" t="shared" si="6" ref="J15:J21">265.693*D15/272.52</f>
        <v>36.07472134487467</v>
      </c>
      <c r="K15" s="323">
        <f aca="true" t="shared" si="7" ref="K15:K21">SUM(I15:J15)</f>
        <v>309.6799751552795</v>
      </c>
      <c r="L15" s="323">
        <f>(('enrolment vs availed_PY'!L12*45*3.91)/100000)+(('enrolment vs availed_PY'!L12*181*3.91)/100000)</f>
        <v>249.7399892</v>
      </c>
      <c r="M15" s="323">
        <f>'enrolment vs availed_PY'!Q12*0.5/100000</f>
        <v>31.93606</v>
      </c>
      <c r="N15" s="323">
        <f aca="true" t="shared" si="8" ref="N15:N21">SUM(L15:M15)</f>
        <v>281.6760492</v>
      </c>
      <c r="O15" s="323">
        <f aca="true" t="shared" si="9" ref="O15:O21">(F15+I15)-L15</f>
        <v>36.26065905338092</v>
      </c>
      <c r="P15" s="323">
        <f aca="true" t="shared" si="10" ref="P15:P21">(G15+J15)-M15</f>
        <v>5.065060699528647</v>
      </c>
      <c r="Q15" s="323">
        <f aca="true" t="shared" si="11" ref="Q15:Q21">SUM(O15:P15)</f>
        <v>41.32571975290956</v>
      </c>
      <c r="R15" s="338"/>
      <c r="S15" s="338"/>
      <c r="T15" s="338"/>
      <c r="U15" s="338"/>
      <c r="V15" s="338"/>
    </row>
    <row r="16" spans="1:22" ht="12.75">
      <c r="A16" s="8">
        <v>3</v>
      </c>
      <c r="B16" s="19" t="s">
        <v>478</v>
      </c>
      <c r="C16" s="323">
        <f>2101.89*'enrolment vs availed_PY'!G13/272412</f>
        <v>167.09443724946036</v>
      </c>
      <c r="D16" s="323">
        <f t="shared" si="0"/>
        <v>21.664585701070436</v>
      </c>
      <c r="E16" s="323">
        <f t="shared" si="1"/>
        <v>188.75902295053078</v>
      </c>
      <c r="F16" s="323">
        <f t="shared" si="2"/>
        <v>7.257540813180037</v>
      </c>
      <c r="G16" s="323">
        <f t="shared" si="3"/>
        <v>0.5424096148480978</v>
      </c>
      <c r="H16" s="323">
        <f t="shared" si="4"/>
        <v>7.799950428028135</v>
      </c>
      <c r="I16" s="323">
        <f t="shared" si="5"/>
        <v>160.19670090891736</v>
      </c>
      <c r="J16" s="323">
        <f t="shared" si="6"/>
        <v>21.121858097293803</v>
      </c>
      <c r="K16" s="323">
        <f t="shared" si="7"/>
        <v>181.31855900621116</v>
      </c>
      <c r="L16" s="323">
        <f>(('enrolment vs availed_PY'!L13*45*3.91)/100000)+(('enrolment vs availed_PY'!L13*181*3.91)/100000)</f>
        <v>146.2280568</v>
      </c>
      <c r="M16" s="323">
        <f>'enrolment vs availed_PY'!Q13*0.5/100000</f>
        <v>18.69924</v>
      </c>
      <c r="N16" s="323">
        <f t="shared" si="8"/>
        <v>164.9272968</v>
      </c>
      <c r="O16" s="323">
        <f t="shared" si="9"/>
        <v>21.226184922097417</v>
      </c>
      <c r="P16" s="323">
        <f t="shared" si="10"/>
        <v>2.9650277121419</v>
      </c>
      <c r="Q16" s="323">
        <f t="shared" si="11"/>
        <v>24.191212634239317</v>
      </c>
      <c r="R16" s="338"/>
      <c r="S16" s="338"/>
      <c r="T16" s="338"/>
      <c r="U16" s="338"/>
      <c r="V16" s="338"/>
    </row>
    <row r="17" spans="1:22" ht="12.75">
      <c r="A17" s="8">
        <v>4</v>
      </c>
      <c r="B17" s="19" t="s">
        <v>479</v>
      </c>
      <c r="C17" s="323">
        <f>2101.89*'enrolment vs availed_PY'!G14/272412</f>
        <v>240.37957600986738</v>
      </c>
      <c r="D17" s="323">
        <f t="shared" si="0"/>
        <v>31.166351262058935</v>
      </c>
      <c r="E17" s="323">
        <f t="shared" si="1"/>
        <v>271.5459272719263</v>
      </c>
      <c r="F17" s="323">
        <f t="shared" si="2"/>
        <v>10.440590436544646</v>
      </c>
      <c r="G17" s="323">
        <f t="shared" si="3"/>
        <v>0.7803024169273013</v>
      </c>
      <c r="H17" s="323">
        <f t="shared" si="4"/>
        <v>11.220892853471947</v>
      </c>
      <c r="I17" s="323">
        <f t="shared" si="5"/>
        <v>230.45659494442242</v>
      </c>
      <c r="J17" s="323">
        <f t="shared" si="6"/>
        <v>30.385591390981308</v>
      </c>
      <c r="K17" s="323">
        <f t="shared" si="7"/>
        <v>260.8421863354037</v>
      </c>
      <c r="L17" s="323">
        <f>(('enrolment vs availed_PY'!L14*45*3.91)/100000)+(('enrolment vs availed_PY'!L14*181*3.91)/100000)</f>
        <v>210.39060940000002</v>
      </c>
      <c r="M17" s="323">
        <f>'enrolment vs availed_PY'!Q14*0.5/100000</f>
        <v>26.90417</v>
      </c>
      <c r="N17" s="323">
        <f t="shared" si="8"/>
        <v>237.2947794</v>
      </c>
      <c r="O17" s="323">
        <f t="shared" si="9"/>
        <v>30.506575980967057</v>
      </c>
      <c r="P17" s="323">
        <f t="shared" si="10"/>
        <v>4.261723807908609</v>
      </c>
      <c r="Q17" s="323">
        <f t="shared" si="11"/>
        <v>34.768299788875666</v>
      </c>
      <c r="R17" s="338"/>
      <c r="S17" s="338"/>
      <c r="T17" s="338"/>
      <c r="U17" s="338"/>
      <c r="V17" s="338"/>
    </row>
    <row r="18" spans="1:22" ht="12.75">
      <c r="A18" s="8">
        <v>5</v>
      </c>
      <c r="B18" s="19" t="s">
        <v>480</v>
      </c>
      <c r="C18" s="323">
        <f>2101.89*'enrolment vs availed_PY'!G15/272412</f>
        <v>245.7266597286463</v>
      </c>
      <c r="D18" s="323">
        <f t="shared" si="0"/>
        <v>31.859626007664858</v>
      </c>
      <c r="E18" s="323">
        <f t="shared" si="1"/>
        <v>277.58628573631114</v>
      </c>
      <c r="F18" s="323">
        <f t="shared" si="2"/>
        <v>10.672834423593676</v>
      </c>
      <c r="G18" s="323">
        <f t="shared" si="3"/>
        <v>0.7976597249754049</v>
      </c>
      <c r="H18" s="323">
        <f t="shared" si="4"/>
        <v>11.470494148569081</v>
      </c>
      <c r="I18" s="323">
        <f t="shared" si="5"/>
        <v>235.58294855219302</v>
      </c>
      <c r="J18" s="323">
        <f t="shared" si="6"/>
        <v>31.06149865277594</v>
      </c>
      <c r="K18" s="323">
        <f t="shared" si="7"/>
        <v>266.64444720496897</v>
      </c>
      <c r="L18" s="323">
        <f>(('enrolment vs availed_PY'!L15*45*3.91)/100000)+(('enrolment vs availed_PY'!L15*181*3.91)/100000)</f>
        <v>215.03866100000002</v>
      </c>
      <c r="M18" s="323">
        <f>'enrolment vs availed_PY'!Q15*0.5/100000</f>
        <v>27.49855</v>
      </c>
      <c r="N18" s="323">
        <f t="shared" si="8"/>
        <v>242.537211</v>
      </c>
      <c r="O18" s="323">
        <f t="shared" si="9"/>
        <v>31.217121975786682</v>
      </c>
      <c r="P18" s="323">
        <f t="shared" si="10"/>
        <v>4.3606083777513405</v>
      </c>
      <c r="Q18" s="323">
        <f t="shared" si="11"/>
        <v>35.57773035353802</v>
      </c>
      <c r="R18" s="338"/>
      <c r="S18" s="338"/>
      <c r="T18" s="338"/>
      <c r="U18" s="338"/>
      <c r="V18" s="338"/>
    </row>
    <row r="19" spans="1:22" ht="12.75">
      <c r="A19" s="8">
        <v>6</v>
      </c>
      <c r="B19" s="19" t="s">
        <v>481</v>
      </c>
      <c r="C19" s="323">
        <f>2101.89*'enrolment vs availed_PY'!G16/272412</f>
        <v>193.25116712920135</v>
      </c>
      <c r="D19" s="323">
        <f t="shared" si="0"/>
        <v>25.0559296947271</v>
      </c>
      <c r="E19" s="323">
        <f t="shared" si="1"/>
        <v>218.30709682392845</v>
      </c>
      <c r="F19" s="323">
        <f t="shared" si="2"/>
        <v>8.393626117792168</v>
      </c>
      <c r="G19" s="323">
        <f t="shared" si="3"/>
        <v>0.6273176585466133</v>
      </c>
      <c r="H19" s="323">
        <f t="shared" si="4"/>
        <v>9.02094377633878</v>
      </c>
      <c r="I19" s="323">
        <f t="shared" si="5"/>
        <v>185.27366877376915</v>
      </c>
      <c r="J19" s="323">
        <f t="shared" si="6"/>
        <v>24.428244269709115</v>
      </c>
      <c r="K19" s="323">
        <f t="shared" si="7"/>
        <v>209.70191304347827</v>
      </c>
      <c r="L19" s="323">
        <f>(('enrolment vs availed_PY'!L16*45*3.91)/100000)+(('enrolment vs availed_PY'!L16*181*3.91)/100000)</f>
        <v>169.1060142</v>
      </c>
      <c r="M19" s="323">
        <f>'enrolment vs availed_PY'!Q16*0.5/100000</f>
        <v>21.62481</v>
      </c>
      <c r="N19" s="323">
        <f t="shared" si="8"/>
        <v>190.7308242</v>
      </c>
      <c r="O19" s="323">
        <f t="shared" si="9"/>
        <v>24.561280691561308</v>
      </c>
      <c r="P19" s="323">
        <f t="shared" si="10"/>
        <v>3.4307519282557273</v>
      </c>
      <c r="Q19" s="323">
        <f t="shared" si="11"/>
        <v>27.992032619817035</v>
      </c>
      <c r="R19" s="338"/>
      <c r="S19" s="338"/>
      <c r="T19" s="338"/>
      <c r="U19" s="338"/>
      <c r="V19" s="338"/>
    </row>
    <row r="20" spans="1:22" ht="12.75">
      <c r="A20" s="8">
        <v>7</v>
      </c>
      <c r="B20" s="19" t="s">
        <v>482</v>
      </c>
      <c r="C20" s="323">
        <f>2101.89*'enrolment vs availed_PY'!G17/272412</f>
        <v>301.8440333024977</v>
      </c>
      <c r="D20" s="323">
        <f t="shared" si="0"/>
        <v>39.13550944892295</v>
      </c>
      <c r="E20" s="323">
        <f t="shared" si="1"/>
        <v>340.97954275142064</v>
      </c>
      <c r="F20" s="323">
        <f t="shared" si="2"/>
        <v>13.110223338178935</v>
      </c>
      <c r="G20" s="323">
        <f t="shared" si="3"/>
        <v>0.9798237963085327</v>
      </c>
      <c r="H20" s="323">
        <f t="shared" si="4"/>
        <v>14.090047134487468</v>
      </c>
      <c r="I20" s="323">
        <f t="shared" si="5"/>
        <v>289.3837707589974</v>
      </c>
      <c r="J20" s="323">
        <f t="shared" si="6"/>
        <v>38.15511122858024</v>
      </c>
      <c r="K20" s="323">
        <f t="shared" si="7"/>
        <v>327.5388819875776</v>
      </c>
      <c r="L20" s="323">
        <f>(('enrolment vs availed_PY'!L17*45*3.91)/100000)+(('enrolment vs availed_PY'!L17*181*3.91)/100000)</f>
        <v>264.1436472</v>
      </c>
      <c r="M20" s="323">
        <f>'enrolment vs availed_PY'!Q17*0.5/100000</f>
        <v>33.77796</v>
      </c>
      <c r="N20" s="323">
        <f t="shared" si="8"/>
        <v>297.9216072</v>
      </c>
      <c r="O20" s="323">
        <f t="shared" si="9"/>
        <v>38.35034689717634</v>
      </c>
      <c r="P20" s="323">
        <f t="shared" si="10"/>
        <v>5.356975024888769</v>
      </c>
      <c r="Q20" s="323">
        <f t="shared" si="11"/>
        <v>43.707321922065105</v>
      </c>
      <c r="R20" s="338"/>
      <c r="S20" s="338"/>
      <c r="T20" s="338"/>
      <c r="U20" s="338"/>
      <c r="V20" s="338"/>
    </row>
    <row r="21" spans="1:22" ht="12.75">
      <c r="A21" s="8">
        <v>8</v>
      </c>
      <c r="B21" s="19" t="s">
        <v>483</v>
      </c>
      <c r="C21" s="323">
        <f>2101.89*'enrolment vs availed_PY'!G18/272412</f>
        <v>280.4634142769041</v>
      </c>
      <c r="D21" s="323">
        <f t="shared" si="0"/>
        <v>36.36341086295758</v>
      </c>
      <c r="E21" s="323">
        <f t="shared" si="1"/>
        <v>316.8268251398616</v>
      </c>
      <c r="F21" s="323">
        <f t="shared" si="2"/>
        <v>12.181582518391261</v>
      </c>
      <c r="G21" s="323">
        <f t="shared" si="3"/>
        <v>0.9104196107366783</v>
      </c>
      <c r="H21" s="323">
        <f t="shared" si="4"/>
        <v>13.09200212912794</v>
      </c>
      <c r="I21" s="323">
        <f t="shared" si="5"/>
        <v>268.88575366356844</v>
      </c>
      <c r="J21" s="323">
        <f t="shared" si="6"/>
        <v>35.4524575165558</v>
      </c>
      <c r="K21" s="323">
        <f t="shared" si="7"/>
        <v>304.33821118012423</v>
      </c>
      <c r="L21" s="323">
        <f>(('enrolment vs availed_PY'!L18*45*3.91)/100000)+(('enrolment vs availed_PY'!L18*181*3.91)/100000)</f>
        <v>245.436565</v>
      </c>
      <c r="M21" s="323">
        <f>'enrolment vs availed_PY'!Q18*0.5/100000</f>
        <v>31.38575</v>
      </c>
      <c r="N21" s="323">
        <f t="shared" si="8"/>
        <v>276.822315</v>
      </c>
      <c r="O21" s="323">
        <f t="shared" si="9"/>
        <v>35.630771181959716</v>
      </c>
      <c r="P21" s="323">
        <f t="shared" si="10"/>
        <v>4.9771271272924835</v>
      </c>
      <c r="Q21" s="323">
        <f t="shared" si="11"/>
        <v>40.6078983092522</v>
      </c>
      <c r="R21" s="338"/>
      <c r="S21" s="338"/>
      <c r="T21" s="338"/>
      <c r="U21" s="338"/>
      <c r="V21" s="338"/>
    </row>
    <row r="22" spans="1:25" ht="12.75">
      <c r="A22" s="3"/>
      <c r="B22" s="27" t="s">
        <v>484</v>
      </c>
      <c r="C22" s="569">
        <f>SUM(C14:C21)</f>
        <v>2101.89</v>
      </c>
      <c r="D22" s="569">
        <f aca="true" t="shared" si="12" ref="D22:Q22">SUM(D14:D21)</f>
        <v>272.52</v>
      </c>
      <c r="E22" s="569">
        <f t="shared" si="12"/>
        <v>2374.41</v>
      </c>
      <c r="F22" s="569">
        <f t="shared" si="12"/>
        <v>91.29300000000002</v>
      </c>
      <c r="G22" s="569">
        <f t="shared" si="12"/>
        <v>6.823</v>
      </c>
      <c r="H22" s="569">
        <f t="shared" si="12"/>
        <v>98.11599999999999</v>
      </c>
      <c r="I22" s="569">
        <f t="shared" si="12"/>
        <v>2015.1230000000003</v>
      </c>
      <c r="J22" s="323">
        <f t="shared" si="12"/>
        <v>265.693</v>
      </c>
      <c r="K22" s="323">
        <f t="shared" si="12"/>
        <v>2280.816</v>
      </c>
      <c r="L22" s="323">
        <f t="shared" si="12"/>
        <v>1839.4001462</v>
      </c>
      <c r="M22" s="323">
        <f t="shared" si="12"/>
        <v>235.21741</v>
      </c>
      <c r="N22" s="323">
        <f t="shared" si="12"/>
        <v>2074.6175562</v>
      </c>
      <c r="O22" s="323">
        <f t="shared" si="12"/>
        <v>267.0158538</v>
      </c>
      <c r="P22" s="323">
        <f t="shared" si="12"/>
        <v>37.29858999999997</v>
      </c>
      <c r="Q22" s="323">
        <f t="shared" si="12"/>
        <v>304.3144438</v>
      </c>
      <c r="R22" s="338"/>
      <c r="S22" s="338"/>
      <c r="T22" s="338"/>
      <c r="U22" s="338"/>
      <c r="V22" s="338"/>
      <c r="W22" s="430"/>
      <c r="X22" s="432"/>
      <c r="Y22" s="430"/>
    </row>
    <row r="23" spans="1:17" ht="12.75">
      <c r="A23" s="12"/>
      <c r="B23" s="28"/>
      <c r="C23" s="453"/>
      <c r="D23" s="28"/>
      <c r="E23" s="604"/>
      <c r="F23" s="21"/>
      <c r="G23" s="21"/>
      <c r="H23" s="21"/>
      <c r="I23" s="21"/>
      <c r="J23" s="21"/>
      <c r="K23" s="21"/>
      <c r="L23" s="21"/>
      <c r="M23" s="21"/>
      <c r="N23" s="604"/>
      <c r="O23" s="21"/>
      <c r="P23" s="21"/>
      <c r="Q23" s="604"/>
    </row>
    <row r="24" spans="1:15" ht="11.25" customHeight="1">
      <c r="A24" s="21"/>
      <c r="B24" s="21"/>
      <c r="C24" s="21"/>
      <c r="D24" s="21"/>
      <c r="E24" s="21"/>
      <c r="F24" s="21"/>
      <c r="G24" s="21"/>
      <c r="H24" s="21"/>
      <c r="I24" s="604"/>
      <c r="J24" s="21" t="s">
        <v>10</v>
      </c>
      <c r="K24" s="21" t="s">
        <v>10</v>
      </c>
      <c r="L24" s="21" t="s">
        <v>10</v>
      </c>
      <c r="M24" s="432" t="s">
        <v>10</v>
      </c>
      <c r="N24" s="21" t="s">
        <v>10</v>
      </c>
      <c r="O24" s="21"/>
    </row>
    <row r="25" spans="1:17" ht="14.25" customHeight="1">
      <c r="A25" s="810" t="s">
        <v>820</v>
      </c>
      <c r="B25" s="810"/>
      <c r="C25" s="810"/>
      <c r="D25" s="810"/>
      <c r="E25" s="810"/>
      <c r="F25" s="810"/>
      <c r="G25" s="810"/>
      <c r="H25" s="810"/>
      <c r="I25" s="810"/>
      <c r="J25" s="810"/>
      <c r="K25" s="810"/>
      <c r="L25" s="810"/>
      <c r="M25" s="810"/>
      <c r="N25" s="810"/>
      <c r="O25" s="810"/>
      <c r="P25" s="810"/>
      <c r="Q25" s="810"/>
    </row>
    <row r="26" spans="1:17" ht="15.75" customHeight="1">
      <c r="A26" s="277"/>
      <c r="B26" s="811"/>
      <c r="C26" s="811"/>
      <c r="D26" s="811"/>
      <c r="E26" s="811"/>
      <c r="F26" s="811"/>
      <c r="G26" s="811"/>
      <c r="H26" s="811"/>
      <c r="I26" s="811"/>
      <c r="J26" s="811"/>
      <c r="K26" s="811"/>
      <c r="L26" s="811"/>
      <c r="M26" s="811"/>
      <c r="N26" s="811"/>
      <c r="O26" s="43"/>
      <c r="P26" s="43"/>
      <c r="Q26" s="43"/>
    </row>
    <row r="27" spans="1:17" ht="12.75">
      <c r="A27" s="15" t="s">
        <v>11</v>
      </c>
      <c r="B27" s="15"/>
      <c r="F27" s="479"/>
      <c r="H27" s="16" t="s">
        <v>10</v>
      </c>
      <c r="J27" s="338"/>
      <c r="K27" s="15"/>
      <c r="L27" s="15"/>
      <c r="M27" s="15" t="s">
        <v>10</v>
      </c>
      <c r="O27" s="667"/>
      <c r="P27" s="667"/>
      <c r="Q27" s="667"/>
    </row>
    <row r="28" spans="2:17" ht="12.75" customHeight="1">
      <c r="B28" s="86"/>
      <c r="E28" s="33"/>
      <c r="F28" s="479"/>
      <c r="H28" s="33"/>
      <c r="J28" s="338"/>
      <c r="K28" s="86"/>
      <c r="L28" s="86"/>
      <c r="M28" s="86"/>
      <c r="N28" s="86"/>
      <c r="O28" s="667" t="s">
        <v>819</v>
      </c>
      <c r="P28" s="667"/>
      <c r="Q28" s="667"/>
    </row>
    <row r="29" spans="2:17" ht="12.75" customHeight="1">
      <c r="B29" s="86"/>
      <c r="E29" s="33"/>
      <c r="F29" s="479"/>
      <c r="H29" s="33"/>
      <c r="J29" s="338"/>
      <c r="K29" s="86"/>
      <c r="L29" s="86"/>
      <c r="M29" s="86"/>
      <c r="N29" s="86"/>
      <c r="O29" s="667" t="s">
        <v>488</v>
      </c>
      <c r="P29" s="667"/>
      <c r="Q29" s="667"/>
    </row>
    <row r="30" spans="1:18" ht="12.75">
      <c r="A30" s="15"/>
      <c r="B30" s="15"/>
      <c r="F30" s="479"/>
      <c r="J30" s="338"/>
      <c r="K30" s="15"/>
      <c r="L30" s="15"/>
      <c r="M30" s="15"/>
      <c r="O30" s="699" t="s">
        <v>544</v>
      </c>
      <c r="P30" s="699"/>
      <c r="Q30" s="699"/>
      <c r="R30" s="699"/>
    </row>
    <row r="31" spans="6:10" ht="12.75">
      <c r="F31" s="479"/>
      <c r="J31" s="338"/>
    </row>
    <row r="32" spans="6:17" ht="12.75">
      <c r="F32" s="479"/>
      <c r="J32" s="338"/>
      <c r="L32" s="338"/>
      <c r="O32" s="338"/>
      <c r="P32" s="340"/>
      <c r="Q32" s="338"/>
    </row>
    <row r="33" spans="6:17" ht="12.75">
      <c r="F33" s="479"/>
      <c r="J33" s="338"/>
      <c r="L33" s="338"/>
      <c r="O33" s="338"/>
      <c r="P33" s="340"/>
      <c r="Q33" s="338"/>
    </row>
    <row r="34" spans="6:17" ht="12.75">
      <c r="F34" s="479"/>
      <c r="J34" s="338"/>
      <c r="K34" s="16" t="s">
        <v>10</v>
      </c>
      <c r="L34" s="338"/>
      <c r="O34" s="338"/>
      <c r="P34" s="340"/>
      <c r="Q34" s="338"/>
    </row>
    <row r="35" spans="10:17" ht="12.75">
      <c r="J35" s="338"/>
      <c r="L35" s="338"/>
      <c r="O35" s="338"/>
      <c r="P35" s="340"/>
      <c r="Q35" s="338"/>
    </row>
    <row r="36" spans="3:17" ht="12.75">
      <c r="C36" s="15"/>
      <c r="J36" s="338"/>
      <c r="L36" s="338"/>
      <c r="O36" s="338"/>
      <c r="P36" s="340"/>
      <c r="Q36" s="338"/>
    </row>
    <row r="37" spans="3:17" ht="12.75">
      <c r="C37" s="15"/>
      <c r="I37" s="339"/>
      <c r="L37" s="338"/>
      <c r="O37" s="338"/>
      <c r="P37" s="340"/>
      <c r="Q37" s="338"/>
    </row>
    <row r="38" spans="9:17" ht="12.75">
      <c r="I38" s="339"/>
      <c r="L38" s="338"/>
      <c r="O38" s="338"/>
      <c r="P38" s="340"/>
      <c r="Q38" s="338"/>
    </row>
    <row r="39" spans="9:17" ht="12.75">
      <c r="I39" s="339"/>
      <c r="L39" s="338"/>
      <c r="O39" s="338"/>
      <c r="P39" s="340"/>
      <c r="Q39" s="338"/>
    </row>
    <row r="40" spans="9:18" ht="12.75">
      <c r="I40" s="339"/>
      <c r="L40" s="338"/>
      <c r="O40" s="338"/>
      <c r="P40" s="340"/>
      <c r="Q40" s="338"/>
      <c r="R40" s="338"/>
    </row>
  </sheetData>
  <sheetProtection/>
  <mergeCells count="20">
    <mergeCell ref="O29:Q29"/>
    <mergeCell ref="O30:R30"/>
    <mergeCell ref="O11:Q11"/>
    <mergeCell ref="L11:N11"/>
    <mergeCell ref="C11:E11"/>
    <mergeCell ref="F11:H11"/>
    <mergeCell ref="A25:Q25"/>
    <mergeCell ref="O27:Q27"/>
    <mergeCell ref="O28:Q28"/>
    <mergeCell ref="B26:N26"/>
    <mergeCell ref="A11:A12"/>
    <mergeCell ref="B11:B12"/>
    <mergeCell ref="I11:K11"/>
    <mergeCell ref="P1:Q1"/>
    <mergeCell ref="A2:Q2"/>
    <mergeCell ref="A3:Q3"/>
    <mergeCell ref="N10:Q10"/>
    <mergeCell ref="A6:Q6"/>
    <mergeCell ref="A9:B9"/>
    <mergeCell ref="P9:Q9"/>
  </mergeCells>
  <printOptions horizontalCentered="1"/>
  <pageMargins left="0.6" right="0.3" top="1.3" bottom="0" header="0.93" footer="0.31496062992125984"/>
  <pageSetup fitToHeight="1" fitToWidth="1"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sheetPr>
    <pageSetUpPr fitToPage="1"/>
  </sheetPr>
  <dimension ref="A1:Y40"/>
  <sheetViews>
    <sheetView view="pageBreakPreview" zoomScaleSheetLayoutView="100" zoomScalePageLayoutView="0" workbookViewId="0" topLeftCell="A1">
      <selection activeCell="Q22" sqref="Q22"/>
    </sheetView>
  </sheetViews>
  <sheetFormatPr defaultColWidth="9.140625" defaultRowHeight="12.75"/>
  <cols>
    <col min="1" max="1" width="7.421875" style="16" customWidth="1"/>
    <col min="2" max="2" width="13.140625" style="16" customWidth="1"/>
    <col min="3" max="4" width="9.00390625" style="16" customWidth="1"/>
    <col min="5" max="5" width="9.421875" style="16" customWidth="1"/>
    <col min="6" max="8" width="8.57421875" style="16" customWidth="1"/>
    <col min="9" max="9" width="9.28125" style="16" customWidth="1"/>
    <col min="10" max="10" width="7.57421875" style="16" customWidth="1"/>
    <col min="11" max="11" width="8.57421875" style="16" customWidth="1"/>
    <col min="12" max="12" width="8.7109375" style="16" customWidth="1"/>
    <col min="13" max="13" width="7.8515625" style="16" customWidth="1"/>
    <col min="14" max="14" width="8.8515625" style="16" customWidth="1"/>
    <col min="15" max="15" width="12.28125" style="16" customWidth="1"/>
    <col min="16" max="16" width="11.8515625" style="16" customWidth="1"/>
    <col min="17" max="17" width="12.421875" style="16" customWidth="1"/>
    <col min="18" max="16384" width="9.140625" style="16" customWidth="1"/>
  </cols>
  <sheetData>
    <row r="1" spans="8:21" ht="15">
      <c r="H1" s="31"/>
      <c r="I1" s="31"/>
      <c r="J1" s="31"/>
      <c r="K1" s="31"/>
      <c r="L1" s="31"/>
      <c r="M1" s="31"/>
      <c r="N1" s="31"/>
      <c r="O1" s="31"/>
      <c r="P1" s="744" t="s">
        <v>87</v>
      </c>
      <c r="Q1" s="744"/>
      <c r="R1" s="746"/>
      <c r="T1" s="44"/>
      <c r="U1" s="44"/>
    </row>
    <row r="2" spans="1:21" ht="15">
      <c r="A2" s="751" t="s">
        <v>0</v>
      </c>
      <c r="B2" s="751"/>
      <c r="C2" s="751"/>
      <c r="D2" s="751"/>
      <c r="E2" s="751"/>
      <c r="F2" s="751"/>
      <c r="G2" s="751"/>
      <c r="H2" s="751"/>
      <c r="I2" s="751"/>
      <c r="J2" s="751"/>
      <c r="K2" s="751"/>
      <c r="L2" s="751"/>
      <c r="M2" s="751"/>
      <c r="N2" s="751"/>
      <c r="O2" s="751"/>
      <c r="P2" s="751"/>
      <c r="Q2" s="751"/>
      <c r="R2" s="746"/>
      <c r="S2" s="46"/>
      <c r="T2" s="46"/>
      <c r="U2" s="46"/>
    </row>
    <row r="3" spans="1:21" ht="20.25">
      <c r="A3" s="645" t="s">
        <v>854</v>
      </c>
      <c r="B3" s="645"/>
      <c r="C3" s="645"/>
      <c r="D3" s="645"/>
      <c r="E3" s="645"/>
      <c r="F3" s="645"/>
      <c r="G3" s="645"/>
      <c r="H3" s="645"/>
      <c r="I3" s="645"/>
      <c r="J3" s="645"/>
      <c r="K3" s="645"/>
      <c r="L3" s="645"/>
      <c r="M3" s="645"/>
      <c r="N3" s="645"/>
      <c r="O3" s="645"/>
      <c r="P3" s="645"/>
      <c r="Q3" s="645"/>
      <c r="R3" s="746"/>
      <c r="S3" s="45"/>
      <c r="T3" s="45"/>
      <c r="U3" s="45"/>
    </row>
    <row r="4" ht="10.5" customHeight="1">
      <c r="R4" s="746"/>
    </row>
    <row r="5" spans="1:18" ht="9" customHeight="1">
      <c r="A5" s="24"/>
      <c r="B5" s="24"/>
      <c r="C5" s="24"/>
      <c r="D5" s="24"/>
      <c r="E5" s="23"/>
      <c r="F5" s="23"/>
      <c r="G5" s="23"/>
      <c r="H5" s="23"/>
      <c r="I5" s="23"/>
      <c r="J5" s="23"/>
      <c r="K5" s="23"/>
      <c r="L5" s="23"/>
      <c r="M5" s="23"/>
      <c r="N5" s="24"/>
      <c r="O5" s="24"/>
      <c r="P5" s="23"/>
      <c r="Q5" s="21"/>
      <c r="R5" s="746"/>
    </row>
    <row r="6" spans="1:18" ht="18" customHeight="1">
      <c r="A6" s="646" t="s">
        <v>1001</v>
      </c>
      <c r="B6" s="646"/>
      <c r="C6" s="646"/>
      <c r="D6" s="646"/>
      <c r="E6" s="646"/>
      <c r="F6" s="646"/>
      <c r="G6" s="646"/>
      <c r="H6" s="646"/>
      <c r="I6" s="646"/>
      <c r="J6" s="646"/>
      <c r="K6" s="646"/>
      <c r="L6" s="646"/>
      <c r="M6" s="646"/>
      <c r="N6" s="646"/>
      <c r="O6" s="646"/>
      <c r="P6" s="646"/>
      <c r="Q6" s="646"/>
      <c r="R6" s="746"/>
    </row>
    <row r="7" ht="5.25" customHeight="1">
      <c r="R7" s="746"/>
    </row>
    <row r="8" spans="1:18" ht="12.75">
      <c r="A8" s="699" t="s">
        <v>475</v>
      </c>
      <c r="B8" s="699"/>
      <c r="Q8" s="30" t="s">
        <v>20</v>
      </c>
      <c r="R8" s="746"/>
    </row>
    <row r="9" spans="1:19" ht="15.75">
      <c r="A9" s="14"/>
      <c r="N9" s="742" t="s">
        <v>933</v>
      </c>
      <c r="O9" s="742"/>
      <c r="P9" s="742"/>
      <c r="Q9" s="742"/>
      <c r="R9" s="746"/>
      <c r="S9" s="21"/>
    </row>
    <row r="10" spans="1:18" ht="36.75" customHeight="1">
      <c r="A10" s="714" t="s">
        <v>2</v>
      </c>
      <c r="B10" s="714" t="s">
        <v>3</v>
      </c>
      <c r="C10" s="653" t="s">
        <v>915</v>
      </c>
      <c r="D10" s="653"/>
      <c r="E10" s="653"/>
      <c r="F10" s="653" t="s">
        <v>942</v>
      </c>
      <c r="G10" s="653"/>
      <c r="H10" s="653"/>
      <c r="I10" s="720" t="s">
        <v>377</v>
      </c>
      <c r="J10" s="721"/>
      <c r="K10" s="804"/>
      <c r="L10" s="720" t="s">
        <v>88</v>
      </c>
      <c r="M10" s="721"/>
      <c r="N10" s="804"/>
      <c r="O10" s="807" t="s">
        <v>943</v>
      </c>
      <c r="P10" s="808"/>
      <c r="Q10" s="809"/>
      <c r="R10" s="746"/>
    </row>
    <row r="11" spans="1:17" ht="32.25" customHeight="1">
      <c r="A11" s="716"/>
      <c r="B11" s="716"/>
      <c r="C11" s="257" t="s">
        <v>171</v>
      </c>
      <c r="D11" s="257" t="s">
        <v>372</v>
      </c>
      <c r="E11" s="257" t="s">
        <v>15</v>
      </c>
      <c r="F11" s="257" t="s">
        <v>171</v>
      </c>
      <c r="G11" s="257" t="s">
        <v>373</v>
      </c>
      <c r="H11" s="257" t="s">
        <v>15</v>
      </c>
      <c r="I11" s="257" t="s">
        <v>171</v>
      </c>
      <c r="J11" s="257" t="s">
        <v>373</v>
      </c>
      <c r="K11" s="257" t="s">
        <v>15</v>
      </c>
      <c r="L11" s="257" t="s">
        <v>171</v>
      </c>
      <c r="M11" s="257" t="s">
        <v>373</v>
      </c>
      <c r="N11" s="257" t="s">
        <v>15</v>
      </c>
      <c r="O11" s="257" t="s">
        <v>233</v>
      </c>
      <c r="P11" s="257" t="s">
        <v>374</v>
      </c>
      <c r="Q11" s="257" t="s">
        <v>107</v>
      </c>
    </row>
    <row r="12" spans="1:17" s="71" customFormat="1" ht="12.75">
      <c r="A12" s="68">
        <v>1</v>
      </c>
      <c r="B12" s="68">
        <v>2</v>
      </c>
      <c r="C12" s="68">
        <v>3</v>
      </c>
      <c r="D12" s="68">
        <v>4</v>
      </c>
      <c r="E12" s="68">
        <v>5</v>
      </c>
      <c r="F12" s="68">
        <v>6</v>
      </c>
      <c r="G12" s="68">
        <v>7</v>
      </c>
      <c r="H12" s="68">
        <v>8</v>
      </c>
      <c r="I12" s="68">
        <v>9</v>
      </c>
      <c r="J12" s="68">
        <v>10</v>
      </c>
      <c r="K12" s="68">
        <v>11</v>
      </c>
      <c r="L12" s="68">
        <v>12</v>
      </c>
      <c r="M12" s="68">
        <v>13</v>
      </c>
      <c r="N12" s="68">
        <v>14</v>
      </c>
      <c r="O12" s="68">
        <v>15</v>
      </c>
      <c r="P12" s="68">
        <v>16</v>
      </c>
      <c r="Q12" s="68">
        <v>17</v>
      </c>
    </row>
    <row r="13" spans="1:17" ht="12.75">
      <c r="A13" s="8">
        <v>1</v>
      </c>
      <c r="B13" s="19" t="s">
        <v>476</v>
      </c>
      <c r="C13" s="323">
        <f>1809.13*'enrolment vs availed_UPY'!G11/173814</f>
        <v>353.4180742057602</v>
      </c>
      <c r="D13" s="323">
        <f>205.65*C13/1809.13</f>
        <v>40.17424229348614</v>
      </c>
      <c r="E13" s="323">
        <f>SUM(C13:D13)</f>
        <v>393.59231649924635</v>
      </c>
      <c r="F13" s="323">
        <f>41.04*C13/1809.13</f>
        <v>8.017266733404673</v>
      </c>
      <c r="G13" s="323">
        <f>9.579*D13/205.65</f>
        <v>1.871281628637509</v>
      </c>
      <c r="H13" s="323">
        <f>SUM(F13:G13)</f>
        <v>9.888548362042183</v>
      </c>
      <c r="I13" s="323">
        <f>1763.549*C13/1809.13</f>
        <v>344.5137117550945</v>
      </c>
      <c r="J13" s="323">
        <f>196.072*D13/205.65</f>
        <v>38.30315601735188</v>
      </c>
      <c r="K13" s="323">
        <f>SUM(I13:J13)</f>
        <v>382.81686777244636</v>
      </c>
      <c r="L13" s="323">
        <f>(('enrolment vs availed_UPY'!L11*45*5.86)/100000)+(('enrolment vs availed_UPY'!L11*180*5.86)/100000)</f>
        <v>318.167235</v>
      </c>
      <c r="M13" s="323">
        <f>(('enrolment vs availed_UPY'!L11*45*0.65)/100000)+(('enrolment vs availed_UPY'!L11*180*0.65)/100000)</f>
        <v>35.2915875</v>
      </c>
      <c r="N13" s="323">
        <f>SUM(L13:M13)</f>
        <v>353.4588225</v>
      </c>
      <c r="O13" s="323">
        <f>(F13+I13)-L13</f>
        <v>34.36374348849915</v>
      </c>
      <c r="P13" s="323">
        <f>(G13+J13)-M13</f>
        <v>4.882850145989394</v>
      </c>
      <c r="Q13" s="323">
        <f>(H13+K13)-N13</f>
        <v>39.246593634488534</v>
      </c>
    </row>
    <row r="14" spans="1:17" ht="12.75">
      <c r="A14" s="8">
        <v>2</v>
      </c>
      <c r="B14" s="19" t="s">
        <v>477</v>
      </c>
      <c r="C14" s="323">
        <f>1809.13*'enrolment vs availed_UPY'!G12/173814</f>
        <v>249.98955400600644</v>
      </c>
      <c r="D14" s="323">
        <f aca="true" t="shared" si="0" ref="D14:D20">205.65*C14/1809.13</f>
        <v>28.41716835237668</v>
      </c>
      <c r="E14" s="323">
        <f aca="true" t="shared" si="1" ref="E14:E20">SUM(C14:D14)</f>
        <v>278.40672235838315</v>
      </c>
      <c r="F14" s="323">
        <f aca="true" t="shared" si="2" ref="F14:F20">41.04*C14/1809.13</f>
        <v>5.670997272946943</v>
      </c>
      <c r="G14" s="323">
        <f aca="true" t="shared" si="3" ref="G14:G20">9.579*D14/205.65</f>
        <v>1.3236472436052333</v>
      </c>
      <c r="H14" s="323">
        <f aca="true" t="shared" si="4" ref="H14:H20">SUM(F14:G14)</f>
        <v>6.994644516552176</v>
      </c>
      <c r="I14" s="323">
        <f aca="true" t="shared" si="5" ref="I14:I20">1763.549*C14/1809.13</f>
        <v>243.6910713866547</v>
      </c>
      <c r="J14" s="323">
        <f aca="true" t="shared" si="6" ref="J14:J20">196.072*D14/205.65</f>
        <v>27.093659290966205</v>
      </c>
      <c r="K14" s="323">
        <f aca="true" t="shared" si="7" ref="K14:K20">SUM(I14:J14)</f>
        <v>270.7847306776209</v>
      </c>
      <c r="L14" s="323">
        <f>(('enrolment vs availed_UPY'!L12*45*5.86)/100000)+(('enrolment vs availed_UPY'!L12*180*5.86)/100000)</f>
        <v>225.04158000000004</v>
      </c>
      <c r="M14" s="323">
        <f>(('enrolment vs availed_UPY'!L12*45*0.65)/100000)+(('enrolment vs availed_UPY'!L12*180*0.65)/100000)</f>
        <v>24.96195</v>
      </c>
      <c r="N14" s="323">
        <f aca="true" t="shared" si="8" ref="N14:N20">SUM(L14:M14)</f>
        <v>250.00353000000004</v>
      </c>
      <c r="O14" s="323">
        <f aca="true" t="shared" si="9" ref="O14:O20">(F14+I14)-L14</f>
        <v>24.320488659601608</v>
      </c>
      <c r="P14" s="323">
        <f aca="true" t="shared" si="10" ref="P14:P20">(G14+J14)-M14</f>
        <v>3.455356534571436</v>
      </c>
      <c r="Q14" s="323">
        <f aca="true" t="shared" si="11" ref="Q14:Q20">(H14+K14)-N14</f>
        <v>27.77584519417306</v>
      </c>
    </row>
    <row r="15" spans="1:17" ht="12.75">
      <c r="A15" s="8">
        <v>3</v>
      </c>
      <c r="B15" s="19" t="s">
        <v>478</v>
      </c>
      <c r="C15" s="323">
        <f>1809.13*'enrolment vs availed_UPY'!G13/173814</f>
        <v>154.58592955688266</v>
      </c>
      <c r="D15" s="323">
        <f t="shared" si="0"/>
        <v>17.5723117815596</v>
      </c>
      <c r="E15" s="323">
        <f t="shared" si="1"/>
        <v>172.15824133844225</v>
      </c>
      <c r="F15" s="323">
        <f t="shared" si="2"/>
        <v>3.506772066691981</v>
      </c>
      <c r="G15" s="323">
        <f t="shared" si="3"/>
        <v>0.8185031585487936</v>
      </c>
      <c r="H15" s="323">
        <f t="shared" si="4"/>
        <v>4.325275225240775</v>
      </c>
      <c r="I15" s="323">
        <f t="shared" si="5"/>
        <v>150.69113965503357</v>
      </c>
      <c r="J15" s="323">
        <f t="shared" si="6"/>
        <v>16.753894070673248</v>
      </c>
      <c r="K15" s="323">
        <f t="shared" si="7"/>
        <v>167.44503372570682</v>
      </c>
      <c r="L15" s="323">
        <f>(('enrolment vs availed_UPY'!L13*45*5.86)/100000)+(('enrolment vs availed_UPY'!L13*180*5.86)/100000)</f>
        <v>139.15449</v>
      </c>
      <c r="M15" s="323">
        <f>(('enrolment vs availed_UPY'!L13*45*0.65)/100000)+(('enrolment vs availed_UPY'!L13*180*0.65)/100000)</f>
        <v>15.435224999999999</v>
      </c>
      <c r="N15" s="323">
        <f t="shared" si="8"/>
        <v>154.589715</v>
      </c>
      <c r="O15" s="323">
        <f t="shared" si="9"/>
        <v>15.043421721725537</v>
      </c>
      <c r="P15" s="323">
        <f t="shared" si="10"/>
        <v>2.137172229222042</v>
      </c>
      <c r="Q15" s="323">
        <f t="shared" si="11"/>
        <v>17.180593950947582</v>
      </c>
    </row>
    <row r="16" spans="1:17" ht="12.75">
      <c r="A16" s="8">
        <v>4</v>
      </c>
      <c r="B16" s="19" t="s">
        <v>479</v>
      </c>
      <c r="C16" s="323">
        <f>1809.13*'enrolment vs availed_UPY'!G14/173814</f>
        <v>216.74504424269625</v>
      </c>
      <c r="D16" s="323">
        <f t="shared" si="0"/>
        <v>24.638151127066866</v>
      </c>
      <c r="E16" s="323">
        <f t="shared" si="1"/>
        <v>241.38319536976311</v>
      </c>
      <c r="F16" s="323">
        <f t="shared" si="2"/>
        <v>4.916847664745073</v>
      </c>
      <c r="G16" s="323">
        <f t="shared" si="3"/>
        <v>1.147623873796127</v>
      </c>
      <c r="H16" s="323">
        <f t="shared" si="4"/>
        <v>6.0644715385412</v>
      </c>
      <c r="I16" s="323">
        <f t="shared" si="5"/>
        <v>211.28415648912056</v>
      </c>
      <c r="J16" s="323">
        <f t="shared" si="6"/>
        <v>23.490647059500386</v>
      </c>
      <c r="K16" s="323">
        <f t="shared" si="7"/>
        <v>234.77480354862095</v>
      </c>
      <c r="L16" s="323">
        <f>(('enrolment vs availed_UPY'!L14*45*5.86)/100000)+(('enrolment vs availed_UPY'!L14*180*5.86)/100000)</f>
        <v>195.124815</v>
      </c>
      <c r="M16" s="323">
        <f>(('enrolment vs availed_UPY'!L14*45*0.65)/100000)+(('enrolment vs availed_UPY'!L14*180*0.65)/100000)</f>
        <v>21.6435375</v>
      </c>
      <c r="N16" s="323">
        <f t="shared" si="8"/>
        <v>216.76835250000002</v>
      </c>
      <c r="O16" s="323">
        <f t="shared" si="9"/>
        <v>21.076189153865613</v>
      </c>
      <c r="P16" s="323">
        <f t="shared" si="10"/>
        <v>2.9947334332965134</v>
      </c>
      <c r="Q16" s="323">
        <f t="shared" si="11"/>
        <v>24.07092258716213</v>
      </c>
    </row>
    <row r="17" spans="1:17" ht="12.75">
      <c r="A17" s="8">
        <v>5</v>
      </c>
      <c r="B17" s="19" t="s">
        <v>480</v>
      </c>
      <c r="C17" s="323">
        <f>1809.13*'enrolment vs availed_UPY'!G15/173814</f>
        <v>237.41617648750966</v>
      </c>
      <c r="D17" s="323">
        <f t="shared" si="0"/>
        <v>26.987909489454246</v>
      </c>
      <c r="E17" s="323">
        <f t="shared" si="1"/>
        <v>264.4040859769639</v>
      </c>
      <c r="F17" s="323">
        <f t="shared" si="2"/>
        <v>5.385770996582553</v>
      </c>
      <c r="G17" s="323">
        <f t="shared" si="3"/>
        <v>1.2570735959128725</v>
      </c>
      <c r="H17" s="323">
        <f t="shared" si="4"/>
        <v>6.642844592495425</v>
      </c>
      <c r="I17" s="323">
        <f t="shared" si="5"/>
        <v>231.4344799038052</v>
      </c>
      <c r="J17" s="323">
        <f t="shared" si="6"/>
        <v>25.730967125778132</v>
      </c>
      <c r="K17" s="323">
        <f t="shared" si="7"/>
        <v>257.16544702958333</v>
      </c>
      <c r="L17" s="323">
        <f>(('enrolment vs availed_UPY'!L15*45*5.86)/100000)+(('enrolment vs availed_UPY'!L15*180*5.86)/100000)</f>
        <v>213.715665</v>
      </c>
      <c r="M17" s="323">
        <f>(('enrolment vs availed_UPY'!L15*45*0.65)/100000)+(('enrolment vs availed_UPY'!L15*180*0.65)/100000)</f>
        <v>23.7056625</v>
      </c>
      <c r="N17" s="323">
        <f t="shared" si="8"/>
        <v>237.4213275</v>
      </c>
      <c r="O17" s="323">
        <f t="shared" si="9"/>
        <v>23.104585900387747</v>
      </c>
      <c r="P17" s="323">
        <f t="shared" si="10"/>
        <v>3.2823782216910047</v>
      </c>
      <c r="Q17" s="323">
        <f t="shared" si="11"/>
        <v>26.38696412207875</v>
      </c>
    </row>
    <row r="18" spans="1:17" ht="12.75">
      <c r="A18" s="8">
        <v>6</v>
      </c>
      <c r="B18" s="19" t="s">
        <v>481</v>
      </c>
      <c r="C18" s="323">
        <f>1809.13*'enrolment vs availed_UPY'!G16/173814</f>
        <v>160.87261831613105</v>
      </c>
      <c r="D18" s="323">
        <f t="shared" si="0"/>
        <v>18.286941213020814</v>
      </c>
      <c r="E18" s="323">
        <f t="shared" si="1"/>
        <v>179.15955952915186</v>
      </c>
      <c r="F18" s="323">
        <f t="shared" si="2"/>
        <v>3.649385204874176</v>
      </c>
      <c r="G18" s="323">
        <f t="shared" si="3"/>
        <v>0.8517899823949738</v>
      </c>
      <c r="H18" s="323">
        <f t="shared" si="4"/>
        <v>4.5011751872691494</v>
      </c>
      <c r="I18" s="323">
        <f t="shared" si="5"/>
        <v>156.81943539645832</v>
      </c>
      <c r="J18" s="323">
        <f t="shared" si="6"/>
        <v>17.435240153267284</v>
      </c>
      <c r="K18" s="323">
        <f t="shared" si="7"/>
        <v>174.2546755497256</v>
      </c>
      <c r="L18" s="323">
        <f>(('enrolment vs availed_UPY'!L16*45*5.86)/100000)+(('enrolment vs availed_UPY'!L16*180*5.86)/100000)</f>
        <v>144.82404</v>
      </c>
      <c r="M18" s="323">
        <f>(('enrolment vs availed_UPY'!L16*45*0.65)/100000)+(('enrolment vs availed_UPY'!L16*180*0.65)/100000)</f>
        <v>16.0641</v>
      </c>
      <c r="N18" s="323">
        <f t="shared" si="8"/>
        <v>160.88814</v>
      </c>
      <c r="O18" s="323">
        <f t="shared" si="9"/>
        <v>15.644780601332485</v>
      </c>
      <c r="P18" s="323">
        <f t="shared" si="10"/>
        <v>2.2229301356622564</v>
      </c>
      <c r="Q18" s="323">
        <f t="shared" si="11"/>
        <v>17.867710736994752</v>
      </c>
    </row>
    <row r="19" spans="1:17" ht="12.75">
      <c r="A19" s="8">
        <v>7</v>
      </c>
      <c r="B19" s="19" t="s">
        <v>482</v>
      </c>
      <c r="C19" s="323">
        <f>1809.13*'enrolment vs availed_UPY'!G17/173814</f>
        <v>219.38878421761194</v>
      </c>
      <c r="D19" s="323">
        <f t="shared" si="0"/>
        <v>24.93867409989989</v>
      </c>
      <c r="E19" s="323">
        <f t="shared" si="1"/>
        <v>244.32745831751183</v>
      </c>
      <c r="F19" s="323">
        <f t="shared" si="2"/>
        <v>4.976820739411095</v>
      </c>
      <c r="G19" s="323">
        <f t="shared" si="3"/>
        <v>1.1616219752148849</v>
      </c>
      <c r="H19" s="323">
        <f t="shared" si="4"/>
        <v>6.13844271462598</v>
      </c>
      <c r="I19" s="323">
        <f t="shared" si="5"/>
        <v>213.86128747971972</v>
      </c>
      <c r="J19" s="323">
        <f t="shared" si="6"/>
        <v>23.777173392246883</v>
      </c>
      <c r="K19" s="323">
        <f t="shared" si="7"/>
        <v>237.6384608719666</v>
      </c>
      <c r="L19" s="323">
        <f>(('enrolment vs availed_UPY'!L17*45*5.86)/100000)+(('enrolment vs availed_UPY'!L17*180*5.86)/100000)</f>
        <v>197.48493</v>
      </c>
      <c r="M19" s="323">
        <f>(('enrolment vs availed_UPY'!L17*45*0.65)/100000)+(('enrolment vs availed_UPY'!L17*180*0.65)/100000)</f>
        <v>21.905325</v>
      </c>
      <c r="N19" s="323">
        <f t="shared" si="8"/>
        <v>219.390255</v>
      </c>
      <c r="O19" s="323">
        <f t="shared" si="9"/>
        <v>21.353178219130825</v>
      </c>
      <c r="P19" s="323">
        <f t="shared" si="10"/>
        <v>3.033470367461767</v>
      </c>
      <c r="Q19" s="323">
        <f t="shared" si="11"/>
        <v>24.38664858659257</v>
      </c>
    </row>
    <row r="20" spans="1:17" ht="12.75">
      <c r="A20" s="8">
        <v>8</v>
      </c>
      <c r="B20" s="19" t="s">
        <v>483</v>
      </c>
      <c r="C20" s="323">
        <f>1809.13*'enrolment vs availed_UPY'!G18/173814</f>
        <v>216.71381896740195</v>
      </c>
      <c r="D20" s="323">
        <f t="shared" si="0"/>
        <v>24.634601643135767</v>
      </c>
      <c r="E20" s="323">
        <f t="shared" si="1"/>
        <v>241.34842061053772</v>
      </c>
      <c r="F20" s="323">
        <f t="shared" si="2"/>
        <v>4.916139321343505</v>
      </c>
      <c r="G20" s="323">
        <f t="shared" si="3"/>
        <v>1.1474585418896062</v>
      </c>
      <c r="H20" s="323">
        <f t="shared" si="4"/>
        <v>6.063597863233111</v>
      </c>
      <c r="I20" s="323">
        <f t="shared" si="5"/>
        <v>211.2537179341135</v>
      </c>
      <c r="J20" s="323">
        <f t="shared" si="6"/>
        <v>23.48726289021598</v>
      </c>
      <c r="K20" s="323">
        <f t="shared" si="7"/>
        <v>234.74098082432948</v>
      </c>
      <c r="L20" s="323">
        <f>(('enrolment vs availed_UPY'!L18*45*5.86)/100000)+(('enrolment vs availed_UPY'!L18*180*5.86)/100000)</f>
        <v>195.11163</v>
      </c>
      <c r="M20" s="323">
        <f>(('enrolment vs availed_UPY'!L18*45*0.65)/100000)+(('enrolment vs availed_UPY'!L18*180*0.65)/100000)</f>
        <v>21.642075</v>
      </c>
      <c r="N20" s="323">
        <f t="shared" si="8"/>
        <v>216.753705</v>
      </c>
      <c r="O20" s="323">
        <f t="shared" si="9"/>
        <v>21.058227255457012</v>
      </c>
      <c r="P20" s="323">
        <f t="shared" si="10"/>
        <v>2.9926464321055875</v>
      </c>
      <c r="Q20" s="323">
        <f t="shared" si="11"/>
        <v>24.050873687562586</v>
      </c>
    </row>
    <row r="21" spans="1:25" ht="12.75">
      <c r="A21" s="3"/>
      <c r="B21" s="27" t="s">
        <v>484</v>
      </c>
      <c r="C21" s="569">
        <f>SUM(C13:C20)</f>
        <v>1809.13</v>
      </c>
      <c r="D21" s="569">
        <f aca="true" t="shared" si="12" ref="D21:Q21">SUM(D13:D20)</f>
        <v>205.64999999999998</v>
      </c>
      <c r="E21" s="569">
        <f t="shared" si="12"/>
        <v>2014.7800000000002</v>
      </c>
      <c r="F21" s="569">
        <f t="shared" si="12"/>
        <v>41.04</v>
      </c>
      <c r="G21" s="569">
        <f t="shared" si="12"/>
        <v>9.578999999999999</v>
      </c>
      <c r="H21" s="569">
        <f t="shared" si="12"/>
        <v>50.61899999999999</v>
      </c>
      <c r="I21" s="569">
        <f t="shared" si="12"/>
        <v>1763.549</v>
      </c>
      <c r="J21" s="323">
        <f t="shared" si="12"/>
        <v>196.072</v>
      </c>
      <c r="K21" s="323">
        <f t="shared" si="12"/>
        <v>1959.621</v>
      </c>
      <c r="L21" s="323">
        <f t="shared" si="12"/>
        <v>1628.624385</v>
      </c>
      <c r="M21" s="323">
        <f t="shared" si="12"/>
        <v>180.64946250000003</v>
      </c>
      <c r="N21" s="323">
        <f t="shared" si="12"/>
        <v>1809.2738475</v>
      </c>
      <c r="O21" s="323">
        <f t="shared" si="12"/>
        <v>175.96461499999998</v>
      </c>
      <c r="P21" s="323">
        <f t="shared" si="12"/>
        <v>25.0015375</v>
      </c>
      <c r="Q21" s="323">
        <f t="shared" si="12"/>
        <v>200.96615249999996</v>
      </c>
      <c r="S21" s="429"/>
      <c r="U21" s="430"/>
      <c r="V21" s="432"/>
      <c r="X21" s="432"/>
      <c r="Y21" s="432"/>
    </row>
    <row r="22" spans="1:17" ht="12.75">
      <c r="A22" s="12"/>
      <c r="B22" s="28"/>
      <c r="C22" s="28"/>
      <c r="D22" s="28"/>
      <c r="E22" s="21"/>
      <c r="F22" s="604"/>
      <c r="G22" s="21"/>
      <c r="H22" s="21"/>
      <c r="I22" s="21"/>
      <c r="J22" s="21" t="s">
        <v>10</v>
      </c>
      <c r="K22" s="21"/>
      <c r="L22" s="21"/>
      <c r="M22" s="21" t="s">
        <v>10</v>
      </c>
      <c r="N22" s="21"/>
      <c r="O22" s="21"/>
      <c r="P22" s="21"/>
      <c r="Q22" s="21"/>
    </row>
    <row r="23" spans="1:17" ht="14.25" customHeight="1">
      <c r="A23" s="810" t="s">
        <v>371</v>
      </c>
      <c r="B23" s="810"/>
      <c r="C23" s="810"/>
      <c r="D23" s="810"/>
      <c r="E23" s="810"/>
      <c r="F23" s="810"/>
      <c r="G23" s="810"/>
      <c r="H23" s="810"/>
      <c r="I23" s="810"/>
      <c r="J23" s="810"/>
      <c r="K23" s="810"/>
      <c r="L23" s="810"/>
      <c r="M23" s="810"/>
      <c r="N23" s="810"/>
      <c r="O23" s="810"/>
      <c r="P23" s="810"/>
      <c r="Q23" s="810"/>
    </row>
    <row r="24" spans="1:24" ht="15.75" customHeight="1">
      <c r="A24" s="277"/>
      <c r="B24" s="811"/>
      <c r="C24" s="811"/>
      <c r="D24" s="811"/>
      <c r="E24" s="811"/>
      <c r="F24" s="811"/>
      <c r="G24" s="811"/>
      <c r="H24" s="811"/>
      <c r="I24" s="811"/>
      <c r="J24" s="811"/>
      <c r="K24" s="811"/>
      <c r="L24" s="811"/>
      <c r="M24" s="811"/>
      <c r="N24" s="811"/>
      <c r="O24" s="43"/>
      <c r="P24" s="43"/>
      <c r="Q24" s="43" t="s">
        <v>10</v>
      </c>
      <c r="X24" s="16" t="s">
        <v>10</v>
      </c>
    </row>
    <row r="25" spans="1:17" ht="12.75">
      <c r="A25" s="15" t="s">
        <v>11</v>
      </c>
      <c r="B25" s="15"/>
      <c r="C25" s="479"/>
      <c r="D25" s="479"/>
      <c r="E25" s="479"/>
      <c r="F25" s="479"/>
      <c r="G25" s="479"/>
      <c r="H25" s="479"/>
      <c r="I25" s="479"/>
      <c r="J25" s="479"/>
      <c r="K25" s="479"/>
      <c r="L25" s="479"/>
      <c r="M25" s="479"/>
      <c r="O25" s="667"/>
      <c r="P25" s="667"/>
      <c r="Q25" s="667"/>
    </row>
    <row r="26" spans="2:17" ht="12.75" customHeight="1">
      <c r="B26" s="86"/>
      <c r="C26" s="479"/>
      <c r="D26" s="479"/>
      <c r="E26" s="488"/>
      <c r="F26" s="479"/>
      <c r="G26" s="488"/>
      <c r="H26" s="488"/>
      <c r="I26" s="479"/>
      <c r="J26" s="479"/>
      <c r="K26" s="488"/>
      <c r="L26" s="488"/>
      <c r="M26" s="488" t="s">
        <v>10</v>
      </c>
      <c r="N26" s="86"/>
      <c r="O26" s="667" t="s">
        <v>819</v>
      </c>
      <c r="P26" s="667"/>
      <c r="Q26" s="667"/>
    </row>
    <row r="27" spans="2:18" ht="12.75" customHeight="1">
      <c r="B27" s="86"/>
      <c r="C27" s="479"/>
      <c r="D27" s="479"/>
      <c r="E27" s="488"/>
      <c r="F27" s="479"/>
      <c r="G27" s="488"/>
      <c r="H27" s="488"/>
      <c r="I27" s="479"/>
      <c r="J27" s="479"/>
      <c r="K27" s="488"/>
      <c r="L27" s="488"/>
      <c r="M27" s="488"/>
      <c r="N27" s="86"/>
      <c r="O27" s="667" t="s">
        <v>488</v>
      </c>
      <c r="P27" s="667"/>
      <c r="Q27" s="667"/>
      <c r="R27" s="413"/>
    </row>
    <row r="28" spans="1:18" ht="12.75">
      <c r="A28" s="15"/>
      <c r="B28" s="15"/>
      <c r="C28" s="479"/>
      <c r="D28" s="479"/>
      <c r="E28" s="479"/>
      <c r="F28" s="479"/>
      <c r="G28" s="479"/>
      <c r="H28" s="479"/>
      <c r="I28" s="479"/>
      <c r="J28" s="479"/>
      <c r="K28" s="479"/>
      <c r="L28" s="479"/>
      <c r="M28" s="479"/>
      <c r="O28" s="797" t="s">
        <v>544</v>
      </c>
      <c r="P28" s="797"/>
      <c r="Q28" s="797"/>
      <c r="R28" s="797"/>
    </row>
    <row r="29" spans="3:13" ht="12.75">
      <c r="C29" s="479"/>
      <c r="D29" s="479"/>
      <c r="E29" s="479"/>
      <c r="F29" s="479"/>
      <c r="G29" s="479"/>
      <c r="H29" s="479"/>
      <c r="I29" s="479"/>
      <c r="J29" s="479"/>
      <c r="K29" s="479"/>
      <c r="L29" s="479"/>
      <c r="M29" s="479"/>
    </row>
    <row r="30" spans="3:13" ht="12.75">
      <c r="C30" s="479"/>
      <c r="D30" s="479"/>
      <c r="E30" s="479"/>
      <c r="F30" s="479"/>
      <c r="G30" s="479"/>
      <c r="H30" s="479"/>
      <c r="I30" s="479"/>
      <c r="J30" s="479"/>
      <c r="K30" s="479"/>
      <c r="L30" s="479" t="s">
        <v>10</v>
      </c>
      <c r="M30" s="479"/>
    </row>
    <row r="31" spans="3:13" ht="12.75">
      <c r="C31" s="479"/>
      <c r="D31" s="479"/>
      <c r="E31" s="479"/>
      <c r="F31" s="479"/>
      <c r="G31" s="479"/>
      <c r="H31" s="479"/>
      <c r="I31" s="479"/>
      <c r="J31" s="479"/>
      <c r="K31" s="479"/>
      <c r="L31" s="479"/>
      <c r="M31" s="479"/>
    </row>
    <row r="32" spans="3:13" ht="12.75">
      <c r="C32" s="479"/>
      <c r="D32" s="479"/>
      <c r="E32" s="479"/>
      <c r="F32" s="479"/>
      <c r="G32" s="479"/>
      <c r="H32" s="489"/>
      <c r="I32" s="479"/>
      <c r="J32" s="479"/>
      <c r="K32" s="479"/>
      <c r="L32" s="489"/>
      <c r="M32" s="479"/>
    </row>
    <row r="33" spans="3:13" ht="12.75">
      <c r="C33" s="479"/>
      <c r="D33" s="479"/>
      <c r="E33" s="479"/>
      <c r="F33" s="479"/>
      <c r="G33" s="479"/>
      <c r="H33" s="489"/>
      <c r="I33" s="479"/>
      <c r="J33" s="479"/>
      <c r="K33" s="479"/>
      <c r="L33" s="489"/>
      <c r="M33" s="479"/>
    </row>
    <row r="34" spans="8:12" ht="12.75">
      <c r="H34" s="339"/>
      <c r="L34" s="339"/>
    </row>
    <row r="35" spans="8:12" ht="12.75">
      <c r="H35" s="339"/>
      <c r="L35" s="339"/>
    </row>
    <row r="36" spans="8:12" ht="12.75">
      <c r="H36" s="339"/>
      <c r="L36" s="339"/>
    </row>
    <row r="37" spans="8:12" ht="12.75">
      <c r="H37" s="339"/>
      <c r="L37" s="339"/>
    </row>
    <row r="38" spans="8:12" ht="12.75">
      <c r="H38" s="339"/>
      <c r="L38" s="339"/>
    </row>
    <row r="39" spans="8:12" ht="12.75">
      <c r="H39" s="339"/>
      <c r="L39" s="339"/>
    </row>
    <row r="40" spans="8:12" ht="12.75">
      <c r="H40" s="339"/>
      <c r="L40" s="339"/>
    </row>
  </sheetData>
  <sheetProtection/>
  <mergeCells count="20">
    <mergeCell ref="L10:N10"/>
    <mergeCell ref="O10:Q10"/>
    <mergeCell ref="A8:B8"/>
    <mergeCell ref="A6:Q6"/>
    <mergeCell ref="R1:R10"/>
    <mergeCell ref="P1:Q1"/>
    <mergeCell ref="A2:Q2"/>
    <mergeCell ref="A3:Q3"/>
    <mergeCell ref="N9:Q9"/>
    <mergeCell ref="A10:A11"/>
    <mergeCell ref="O27:Q27"/>
    <mergeCell ref="O28:R28"/>
    <mergeCell ref="A23:Q23"/>
    <mergeCell ref="B24:N24"/>
    <mergeCell ref="B10:B11"/>
    <mergeCell ref="C10:E10"/>
    <mergeCell ref="F10:H10"/>
    <mergeCell ref="I10:K10"/>
    <mergeCell ref="O25:Q25"/>
    <mergeCell ref="O26:Q26"/>
  </mergeCells>
  <printOptions horizontalCentered="1"/>
  <pageMargins left="0.55" right="0.27" top="1.3" bottom="0" header="0.85" footer="0.31496062992125984"/>
  <pageSetup fitToHeight="1" fitToWidth="1" horizontalDpi="600" verticalDpi="600" orientation="landscape" paperSize="9" scale="87" r:id="rId1"/>
</worksheet>
</file>

<file path=xl/worksheets/sheet25.xml><?xml version="1.0" encoding="utf-8"?>
<worksheet xmlns="http://schemas.openxmlformats.org/spreadsheetml/2006/main" xmlns:r="http://schemas.openxmlformats.org/officeDocument/2006/relationships">
  <sheetPr>
    <pageSetUpPr fitToPage="1"/>
  </sheetPr>
  <dimension ref="A1:AA48"/>
  <sheetViews>
    <sheetView view="pageBreakPreview" zoomScale="90" zoomScaleSheetLayoutView="90" zoomScalePageLayoutView="0" workbookViewId="0" topLeftCell="A6">
      <selection activeCell="T14" sqref="T14:T21"/>
    </sheetView>
  </sheetViews>
  <sheetFormatPr defaultColWidth="9.140625" defaultRowHeight="12.75"/>
  <cols>
    <col min="1" max="1" width="4.7109375" style="0" customWidth="1"/>
    <col min="2" max="2" width="13.7109375" style="0" customWidth="1"/>
    <col min="3" max="3" width="14.7109375" style="0" customWidth="1"/>
    <col min="4" max="4" width="13.00390625" style="0" customWidth="1"/>
    <col min="5" max="5" width="12.421875" style="0" customWidth="1"/>
    <col min="6" max="6" width="9.28125" style="0" customWidth="1"/>
    <col min="7" max="7" width="11.57421875" style="0" customWidth="1"/>
    <col min="9" max="10" width="9.28125" style="0" bestFit="1" customWidth="1"/>
    <col min="11" max="11" width="10.421875" style="0" bestFit="1" customWidth="1"/>
    <col min="13" max="14" width="9.28125" style="0" bestFit="1" customWidth="1"/>
    <col min="15" max="15" width="10.421875" style="0" bestFit="1" customWidth="1"/>
    <col min="20" max="20" width="10.421875" style="0" customWidth="1"/>
    <col min="21" max="21" width="11.140625" style="0" customWidth="1"/>
    <col min="22" max="22" width="11.8515625" style="0" customWidth="1"/>
  </cols>
  <sheetData>
    <row r="1" spans="21:23" ht="15">
      <c r="U1" s="744" t="s">
        <v>61</v>
      </c>
      <c r="V1" s="744"/>
      <c r="W1" s="44"/>
    </row>
    <row r="3" spans="1:22" ht="15">
      <c r="A3" s="751" t="s">
        <v>0</v>
      </c>
      <c r="B3" s="751"/>
      <c r="C3" s="751"/>
      <c r="D3" s="751"/>
      <c r="E3" s="751"/>
      <c r="F3" s="751"/>
      <c r="G3" s="751"/>
      <c r="H3" s="751"/>
      <c r="I3" s="751"/>
      <c r="J3" s="751"/>
      <c r="K3" s="751"/>
      <c r="L3" s="751"/>
      <c r="M3" s="751"/>
      <c r="N3" s="751"/>
      <c r="O3" s="751"/>
      <c r="P3" s="751"/>
      <c r="Q3" s="751"/>
      <c r="R3" s="751"/>
      <c r="S3" s="751"/>
      <c r="T3" s="751"/>
      <c r="U3" s="751"/>
      <c r="V3" s="751"/>
    </row>
    <row r="4" spans="1:22" ht="20.25">
      <c r="A4" s="733" t="s">
        <v>854</v>
      </c>
      <c r="B4" s="733"/>
      <c r="C4" s="733"/>
      <c r="D4" s="733"/>
      <c r="E4" s="733"/>
      <c r="F4" s="733"/>
      <c r="G4" s="733"/>
      <c r="H4" s="733"/>
      <c r="I4" s="733"/>
      <c r="J4" s="733"/>
      <c r="K4" s="733"/>
      <c r="L4" s="733"/>
      <c r="M4" s="733"/>
      <c r="N4" s="733"/>
      <c r="O4" s="733"/>
      <c r="P4" s="733"/>
      <c r="Q4" s="733"/>
      <c r="R4" s="733"/>
      <c r="S4" s="733"/>
      <c r="T4" s="733"/>
      <c r="U4" s="733"/>
      <c r="V4" s="733"/>
    </row>
    <row r="5" spans="1:17" ht="15.75">
      <c r="A5" s="815"/>
      <c r="B5" s="815"/>
      <c r="C5" s="815"/>
      <c r="D5" s="815"/>
      <c r="E5" s="815"/>
      <c r="F5" s="815"/>
      <c r="G5" s="815"/>
      <c r="H5" s="815"/>
      <c r="I5" s="815"/>
      <c r="J5" s="815"/>
      <c r="K5" s="815"/>
      <c r="L5" s="815"/>
      <c r="M5" s="815"/>
      <c r="N5" s="815"/>
      <c r="O5" s="815"/>
      <c r="P5" s="815"/>
      <c r="Q5" s="815"/>
    </row>
    <row r="6" spans="1:22" ht="15.75">
      <c r="A6" s="646" t="s">
        <v>944</v>
      </c>
      <c r="B6" s="646"/>
      <c r="C6" s="646"/>
      <c r="D6" s="646"/>
      <c r="E6" s="646"/>
      <c r="F6" s="646"/>
      <c r="G6" s="646"/>
      <c r="H6" s="646"/>
      <c r="I6" s="646"/>
      <c r="J6" s="646"/>
      <c r="K6" s="646"/>
      <c r="L6" s="646"/>
      <c r="M6" s="646"/>
      <c r="N6" s="646"/>
      <c r="O6" s="646"/>
      <c r="P6" s="646"/>
      <c r="Q6" s="646"/>
      <c r="R6" s="646"/>
      <c r="S6" s="646"/>
      <c r="T6" s="646"/>
      <c r="U6" s="646"/>
      <c r="V6" s="646"/>
    </row>
    <row r="7" spans="1:21" ht="12.75">
      <c r="A7" s="31"/>
      <c r="B7" s="31"/>
      <c r="C7" s="149"/>
      <c r="D7" s="31"/>
      <c r="E7" s="31"/>
      <c r="F7" s="31"/>
      <c r="G7" s="31"/>
      <c r="H7" s="31"/>
      <c r="I7" s="31"/>
      <c r="J7" s="31"/>
      <c r="K7" s="31"/>
      <c r="L7" s="31"/>
      <c r="M7" s="31"/>
      <c r="N7" s="31"/>
      <c r="O7" s="31"/>
      <c r="P7" s="31"/>
      <c r="Q7" s="31"/>
      <c r="U7" s="31"/>
    </row>
    <row r="9" spans="1:24" ht="15.75">
      <c r="A9" s="15" t="s">
        <v>475</v>
      </c>
      <c r="B9" s="41"/>
      <c r="C9" s="41"/>
      <c r="D9" s="41"/>
      <c r="E9" s="41"/>
      <c r="F9" s="41"/>
      <c r="G9" s="41"/>
      <c r="H9" s="41"/>
      <c r="I9" s="41"/>
      <c r="J9" s="41"/>
      <c r="K9" s="41"/>
      <c r="L9" s="41"/>
      <c r="M9" s="41"/>
      <c r="N9" s="41"/>
      <c r="O9" s="41"/>
      <c r="U9" s="31" t="s">
        <v>221</v>
      </c>
      <c r="V9" s="31"/>
      <c r="W9" s="31"/>
      <c r="X9" s="31"/>
    </row>
    <row r="10" spans="19:22" ht="12.75">
      <c r="S10" s="754" t="s">
        <v>933</v>
      </c>
      <c r="T10" s="754"/>
      <c r="U10" s="754"/>
      <c r="V10" s="754"/>
    </row>
    <row r="11" spans="1:22" s="270" customFormat="1" ht="28.5" customHeight="1">
      <c r="A11" s="714" t="s">
        <v>497</v>
      </c>
      <c r="B11" s="714" t="s">
        <v>200</v>
      </c>
      <c r="C11" s="714" t="s">
        <v>375</v>
      </c>
      <c r="D11" s="714" t="s">
        <v>376</v>
      </c>
      <c r="E11" s="678" t="s">
        <v>916</v>
      </c>
      <c r="F11" s="678"/>
      <c r="G11" s="678"/>
      <c r="H11" s="683" t="s">
        <v>942</v>
      </c>
      <c r="I11" s="753"/>
      <c r="J11" s="684"/>
      <c r="K11" s="720" t="s">
        <v>378</v>
      </c>
      <c r="L11" s="721"/>
      <c r="M11" s="804"/>
      <c r="N11" s="708" t="s">
        <v>157</v>
      </c>
      <c r="O11" s="709"/>
      <c r="P11" s="710"/>
      <c r="Q11" s="653" t="s">
        <v>945</v>
      </c>
      <c r="R11" s="653"/>
      <c r="S11" s="653"/>
      <c r="T11" s="714" t="s">
        <v>247</v>
      </c>
      <c r="U11" s="714" t="s">
        <v>427</v>
      </c>
      <c r="V11" s="714" t="s">
        <v>379</v>
      </c>
    </row>
    <row r="12" spans="1:22" s="270" customFormat="1" ht="48.75" customHeight="1">
      <c r="A12" s="716"/>
      <c r="B12" s="716"/>
      <c r="C12" s="716"/>
      <c r="D12" s="716"/>
      <c r="E12" s="257" t="s">
        <v>175</v>
      </c>
      <c r="F12" s="257" t="s">
        <v>201</v>
      </c>
      <c r="G12" s="257" t="s">
        <v>15</v>
      </c>
      <c r="H12" s="257" t="s">
        <v>175</v>
      </c>
      <c r="I12" s="257" t="s">
        <v>201</v>
      </c>
      <c r="J12" s="257" t="s">
        <v>15</v>
      </c>
      <c r="K12" s="257" t="s">
        <v>175</v>
      </c>
      <c r="L12" s="257" t="s">
        <v>201</v>
      </c>
      <c r="M12" s="257" t="s">
        <v>15</v>
      </c>
      <c r="N12" s="257" t="s">
        <v>175</v>
      </c>
      <c r="O12" s="257" t="s">
        <v>201</v>
      </c>
      <c r="P12" s="257" t="s">
        <v>15</v>
      </c>
      <c r="Q12" s="257" t="s">
        <v>234</v>
      </c>
      <c r="R12" s="257" t="s">
        <v>213</v>
      </c>
      <c r="S12" s="257" t="s">
        <v>214</v>
      </c>
      <c r="T12" s="716"/>
      <c r="U12" s="716"/>
      <c r="V12" s="716"/>
    </row>
    <row r="13" spans="1:22" ht="12.75">
      <c r="A13" s="148">
        <v>1</v>
      </c>
      <c r="B13" s="107">
        <v>2</v>
      </c>
      <c r="C13" s="8">
        <v>3</v>
      </c>
      <c r="D13" s="107">
        <v>4</v>
      </c>
      <c r="E13" s="107">
        <v>5</v>
      </c>
      <c r="F13" s="8">
        <v>6</v>
      </c>
      <c r="G13" s="107">
        <v>7</v>
      </c>
      <c r="H13" s="107">
        <v>8</v>
      </c>
      <c r="I13" s="8">
        <v>9</v>
      </c>
      <c r="J13" s="107">
        <v>10</v>
      </c>
      <c r="K13" s="107">
        <v>11</v>
      </c>
      <c r="L13" s="8">
        <v>12</v>
      </c>
      <c r="M13" s="107">
        <v>13</v>
      </c>
      <c r="N13" s="107">
        <v>14</v>
      </c>
      <c r="O13" s="8">
        <v>15</v>
      </c>
      <c r="P13" s="107">
        <v>16</v>
      </c>
      <c r="Q13" s="107">
        <v>17</v>
      </c>
      <c r="R13" s="8">
        <v>18</v>
      </c>
      <c r="S13" s="107">
        <v>19</v>
      </c>
      <c r="T13" s="107">
        <v>20</v>
      </c>
      <c r="U13" s="8">
        <v>21</v>
      </c>
      <c r="V13" s="107">
        <v>22</v>
      </c>
    </row>
    <row r="14" spans="1:27" ht="18.75" customHeight="1">
      <c r="A14" s="8">
        <v>1</v>
      </c>
      <c r="B14" s="19" t="s">
        <v>476</v>
      </c>
      <c r="C14" s="9">
        <v>1159</v>
      </c>
      <c r="D14" s="382">
        <v>1210</v>
      </c>
      <c r="E14" s="343">
        <v>109.27</v>
      </c>
      <c r="F14" s="343">
        <v>72.78</v>
      </c>
      <c r="G14" s="343">
        <f>SUM(E14:F14)</f>
        <v>182.05</v>
      </c>
      <c r="H14" s="343">
        <f>0.451*D14/7315</f>
        <v>0.0746015037593985</v>
      </c>
      <c r="I14" s="343">
        <f>0.05*D14/7315</f>
        <v>0.008270676691729323</v>
      </c>
      <c r="J14" s="343">
        <f>SUM(H14:I14)</f>
        <v>0.08287218045112782</v>
      </c>
      <c r="K14" s="343">
        <f>659.52*E14/660.06</f>
        <v>109.18060539950913</v>
      </c>
      <c r="L14" s="323">
        <f>439.578*F14/440.04</f>
        <v>72.7035879465503</v>
      </c>
      <c r="M14" s="343">
        <f>SUM(K14:L14)</f>
        <v>181.88419334605942</v>
      </c>
      <c r="N14" s="343">
        <f>D14*900*10/100000</f>
        <v>108.9</v>
      </c>
      <c r="O14" s="343">
        <f>(D14*600*10/100000)</f>
        <v>72.6</v>
      </c>
      <c r="P14" s="343">
        <f>SUM(N14:O14)</f>
        <v>181.5</v>
      </c>
      <c r="Q14" s="343">
        <f>(H14+K14)-N14</f>
        <v>0.3552069032685239</v>
      </c>
      <c r="R14" s="343">
        <f>(I14+L14)-O14</f>
        <v>0.11185862324202844</v>
      </c>
      <c r="S14" s="343">
        <f>(J14+M14)-P14</f>
        <v>0.4670655265105381</v>
      </c>
      <c r="T14" s="812" t="s">
        <v>511</v>
      </c>
      <c r="U14" s="9">
        <f>D14</f>
        <v>1210</v>
      </c>
      <c r="V14" s="9">
        <f>U14</f>
        <v>1210</v>
      </c>
      <c r="W14" s="604"/>
      <c r="X14" s="344"/>
      <c r="Y14" s="344"/>
      <c r="Z14" s="344"/>
      <c r="AA14" s="344"/>
    </row>
    <row r="15" spans="1:27" ht="18.75" customHeight="1">
      <c r="A15" s="8">
        <v>2</v>
      </c>
      <c r="B15" s="19" t="s">
        <v>477</v>
      </c>
      <c r="C15" s="9">
        <v>1014</v>
      </c>
      <c r="D15" s="382">
        <v>1001</v>
      </c>
      <c r="E15" s="343">
        <v>90.36</v>
      </c>
      <c r="F15" s="343">
        <v>60.24</v>
      </c>
      <c r="G15" s="343">
        <f aca="true" t="shared" si="0" ref="G15:G21">SUM(E15:F15)</f>
        <v>150.6</v>
      </c>
      <c r="H15" s="343">
        <f aca="true" t="shared" si="1" ref="H15:H21">0.451*D15/7315</f>
        <v>0.06171578947368422</v>
      </c>
      <c r="I15" s="343">
        <f aca="true" t="shared" si="2" ref="I15:I21">0.05*D15/7315</f>
        <v>0.006842105263157895</v>
      </c>
      <c r="J15" s="343">
        <f aca="true" t="shared" si="3" ref="J15:J21">SUM(H15:I15)</f>
        <v>0.06855789473684211</v>
      </c>
      <c r="K15" s="343">
        <f>659.52*E15/660.06</f>
        <v>90.28607581128989</v>
      </c>
      <c r="L15" s="323">
        <f aca="true" t="shared" si="4" ref="L15:L21">439.578*F15/440.04</f>
        <v>60.17675374965912</v>
      </c>
      <c r="M15" s="343">
        <f aca="true" t="shared" si="5" ref="M15:M21">SUM(K15:L15)</f>
        <v>150.46282956094902</v>
      </c>
      <c r="N15" s="343">
        <f aca="true" t="shared" si="6" ref="N15:N21">D15*900*10/100000</f>
        <v>90.09</v>
      </c>
      <c r="O15" s="343">
        <f aca="true" t="shared" si="7" ref="O15:O21">(D15*600*10/100000)</f>
        <v>60.06</v>
      </c>
      <c r="P15" s="343">
        <f aca="true" t="shared" si="8" ref="P15:P21">SUM(N15:O15)</f>
        <v>150.15</v>
      </c>
      <c r="Q15" s="343">
        <f aca="true" t="shared" si="9" ref="Q15:Q21">(H15+K15)-N15</f>
        <v>0.2577916007635679</v>
      </c>
      <c r="R15" s="343">
        <f aca="true" t="shared" si="10" ref="R15:R21">(I15+L15)-O15</f>
        <v>0.12359585492227865</v>
      </c>
      <c r="S15" s="343">
        <f aca="true" t="shared" si="11" ref="S15:S21">(J15+M15)-P15</f>
        <v>0.38138745568585364</v>
      </c>
      <c r="T15" s="813"/>
      <c r="U15" s="9">
        <f aca="true" t="shared" si="12" ref="U15:U21">D15</f>
        <v>1001</v>
      </c>
      <c r="V15" s="9">
        <f aca="true" t="shared" si="13" ref="V15:V21">U15</f>
        <v>1001</v>
      </c>
      <c r="W15" s="604"/>
      <c r="X15" s="344"/>
      <c r="Y15" s="344"/>
      <c r="Z15" s="344"/>
      <c r="AA15" s="344"/>
    </row>
    <row r="16" spans="1:27" ht="18.75" customHeight="1">
      <c r="A16" s="8">
        <v>3</v>
      </c>
      <c r="B16" s="19" t="s">
        <v>478</v>
      </c>
      <c r="C16" s="9">
        <v>670</v>
      </c>
      <c r="D16" s="382">
        <v>654</v>
      </c>
      <c r="E16" s="343">
        <v>59.04</v>
      </c>
      <c r="F16" s="343">
        <v>39.36</v>
      </c>
      <c r="G16" s="343">
        <f t="shared" si="0"/>
        <v>98.4</v>
      </c>
      <c r="H16" s="343">
        <f t="shared" si="1"/>
        <v>0.040321804511278196</v>
      </c>
      <c r="I16" s="343">
        <f t="shared" si="2"/>
        <v>0.004470266575529734</v>
      </c>
      <c r="J16" s="343">
        <f t="shared" si="3"/>
        <v>0.04479207108680793</v>
      </c>
      <c r="K16" s="343">
        <f>659.52*E16/660.06</f>
        <v>58.991698936460324</v>
      </c>
      <c r="L16" s="323">
        <f t="shared" si="4"/>
        <v>39.31867575674938</v>
      </c>
      <c r="M16" s="343">
        <f t="shared" si="5"/>
        <v>98.3103746932097</v>
      </c>
      <c r="N16" s="343">
        <f t="shared" si="6"/>
        <v>58.86</v>
      </c>
      <c r="O16" s="343">
        <f t="shared" si="7"/>
        <v>39.24</v>
      </c>
      <c r="P16" s="343">
        <f t="shared" si="8"/>
        <v>98.1</v>
      </c>
      <c r="Q16" s="343">
        <f t="shared" si="9"/>
        <v>0.1720207409716039</v>
      </c>
      <c r="R16" s="343">
        <f t="shared" si="10"/>
        <v>0.0831460233249075</v>
      </c>
      <c r="S16" s="343">
        <f t="shared" si="11"/>
        <v>0.2551667642965043</v>
      </c>
      <c r="T16" s="813"/>
      <c r="U16" s="9">
        <f t="shared" si="12"/>
        <v>654</v>
      </c>
      <c r="V16" s="9">
        <f t="shared" si="13"/>
        <v>654</v>
      </c>
      <c r="W16" s="604"/>
      <c r="X16" s="344"/>
      <c r="Y16" s="344"/>
      <c r="Z16" s="344"/>
      <c r="AA16" s="344"/>
    </row>
    <row r="17" spans="1:27" ht="18.75" customHeight="1">
      <c r="A17" s="8">
        <v>4</v>
      </c>
      <c r="B17" s="19" t="s">
        <v>479</v>
      </c>
      <c r="C17" s="9">
        <v>791</v>
      </c>
      <c r="D17" s="382">
        <v>810</v>
      </c>
      <c r="E17" s="343">
        <v>73.18</v>
      </c>
      <c r="F17" s="343">
        <v>48.72</v>
      </c>
      <c r="G17" s="343">
        <f t="shared" si="0"/>
        <v>121.9</v>
      </c>
      <c r="H17" s="343">
        <f t="shared" si="1"/>
        <v>0.04993984962406015</v>
      </c>
      <c r="I17" s="343">
        <f t="shared" si="2"/>
        <v>0.005536568694463432</v>
      </c>
      <c r="J17" s="343">
        <f t="shared" si="3"/>
        <v>0.05547641831852358</v>
      </c>
      <c r="K17" s="343">
        <f>659.52*E17/660.06</f>
        <v>73.12013089719117</v>
      </c>
      <c r="L17" s="323">
        <f t="shared" si="4"/>
        <v>48.66884865012271</v>
      </c>
      <c r="M17" s="343">
        <f t="shared" si="5"/>
        <v>121.78897954731389</v>
      </c>
      <c r="N17" s="343">
        <f t="shared" si="6"/>
        <v>72.9</v>
      </c>
      <c r="O17" s="343">
        <f t="shared" si="7"/>
        <v>48.6</v>
      </c>
      <c r="P17" s="343">
        <f t="shared" si="8"/>
        <v>121.5</v>
      </c>
      <c r="Q17" s="343">
        <f t="shared" si="9"/>
        <v>0.2700707468152217</v>
      </c>
      <c r="R17" s="343">
        <f t="shared" si="10"/>
        <v>0.07438521881717719</v>
      </c>
      <c r="S17" s="343">
        <f t="shared" si="11"/>
        <v>0.344455965632406</v>
      </c>
      <c r="T17" s="813"/>
      <c r="U17" s="9">
        <f t="shared" si="12"/>
        <v>810</v>
      </c>
      <c r="V17" s="9">
        <f t="shared" si="13"/>
        <v>810</v>
      </c>
      <c r="W17" s="604"/>
      <c r="X17" s="344"/>
      <c r="Y17" s="344"/>
      <c r="Z17" s="344"/>
      <c r="AA17" s="344"/>
    </row>
    <row r="18" spans="1:27" ht="18.75" customHeight="1">
      <c r="A18" s="8">
        <v>5</v>
      </c>
      <c r="B18" s="19" t="s">
        <v>480</v>
      </c>
      <c r="C18" s="9">
        <v>990</v>
      </c>
      <c r="D18" s="382">
        <v>944</v>
      </c>
      <c r="E18" s="343">
        <v>85.14</v>
      </c>
      <c r="F18" s="343">
        <v>56.76</v>
      </c>
      <c r="G18" s="343">
        <f t="shared" si="0"/>
        <v>141.9</v>
      </c>
      <c r="H18" s="343">
        <f t="shared" si="1"/>
        <v>0.0582015037593985</v>
      </c>
      <c r="I18" s="343">
        <f t="shared" si="2"/>
        <v>0.006452494873547506</v>
      </c>
      <c r="J18" s="343">
        <f t="shared" si="3"/>
        <v>0.064653998632946</v>
      </c>
      <c r="K18" s="343">
        <v>85.17</v>
      </c>
      <c r="L18" s="323">
        <f t="shared" si="4"/>
        <v>56.70040741750749</v>
      </c>
      <c r="M18" s="343">
        <f t="shared" si="5"/>
        <v>141.8704074175075</v>
      </c>
      <c r="N18" s="343">
        <f t="shared" si="6"/>
        <v>84.96</v>
      </c>
      <c r="O18" s="343">
        <f t="shared" si="7"/>
        <v>56.64</v>
      </c>
      <c r="P18" s="343">
        <f t="shared" si="8"/>
        <v>141.6</v>
      </c>
      <c r="Q18" s="343">
        <f t="shared" si="9"/>
        <v>0.2682015037593999</v>
      </c>
      <c r="R18" s="343">
        <f t="shared" si="10"/>
        <v>0.06685991238104094</v>
      </c>
      <c r="S18" s="343">
        <f t="shared" si="11"/>
        <v>0.3350614161404337</v>
      </c>
      <c r="T18" s="813"/>
      <c r="U18" s="9">
        <f t="shared" si="12"/>
        <v>944</v>
      </c>
      <c r="V18" s="9">
        <f t="shared" si="13"/>
        <v>944</v>
      </c>
      <c r="W18" s="604"/>
      <c r="X18" s="344"/>
      <c r="Y18" s="344"/>
      <c r="Z18" s="344"/>
      <c r="AA18" s="344"/>
    </row>
    <row r="19" spans="1:27" ht="18.75" customHeight="1">
      <c r="A19" s="8">
        <v>6</v>
      </c>
      <c r="B19" s="19" t="s">
        <v>481</v>
      </c>
      <c r="C19" s="9">
        <v>610</v>
      </c>
      <c r="D19" s="382">
        <v>619</v>
      </c>
      <c r="E19" s="343">
        <v>55.89</v>
      </c>
      <c r="F19" s="343">
        <v>37.26</v>
      </c>
      <c r="G19" s="343">
        <f t="shared" si="0"/>
        <v>93.15</v>
      </c>
      <c r="H19" s="343">
        <f t="shared" si="1"/>
        <v>0.03816390977443609</v>
      </c>
      <c r="I19" s="343">
        <f t="shared" si="2"/>
        <v>0.004231032125768968</v>
      </c>
      <c r="J19" s="343">
        <f t="shared" si="3"/>
        <v>0.042394941900205055</v>
      </c>
      <c r="K19" s="343">
        <f>659.52*E19/660.06</f>
        <v>55.844275974911376</v>
      </c>
      <c r="L19" s="323">
        <f t="shared" si="4"/>
        <v>37.220880556313055</v>
      </c>
      <c r="M19" s="343">
        <f t="shared" si="5"/>
        <v>93.06515653122443</v>
      </c>
      <c r="N19" s="343">
        <f t="shared" si="6"/>
        <v>55.71</v>
      </c>
      <c r="O19" s="343">
        <f t="shared" si="7"/>
        <v>37.14</v>
      </c>
      <c r="P19" s="343">
        <f t="shared" si="8"/>
        <v>92.85</v>
      </c>
      <c r="Q19" s="343">
        <f t="shared" si="9"/>
        <v>0.17243988468580795</v>
      </c>
      <c r="R19" s="343">
        <f t="shared" si="10"/>
        <v>0.08511158843882072</v>
      </c>
      <c r="S19" s="343">
        <f t="shared" si="11"/>
        <v>0.2575514731246358</v>
      </c>
      <c r="T19" s="813"/>
      <c r="U19" s="9">
        <f t="shared" si="12"/>
        <v>619</v>
      </c>
      <c r="V19" s="9">
        <f t="shared" si="13"/>
        <v>619</v>
      </c>
      <c r="W19" s="604"/>
      <c r="X19" s="344"/>
      <c r="Y19" s="344"/>
      <c r="Z19" s="344"/>
      <c r="AA19" s="344"/>
    </row>
    <row r="20" spans="1:27" ht="18.75" customHeight="1">
      <c r="A20" s="8">
        <v>7</v>
      </c>
      <c r="B20" s="19" t="s">
        <v>482</v>
      </c>
      <c r="C20" s="9">
        <v>873</v>
      </c>
      <c r="D20" s="382">
        <v>963</v>
      </c>
      <c r="E20" s="343">
        <v>86.94</v>
      </c>
      <c r="F20" s="343">
        <v>57.96</v>
      </c>
      <c r="G20" s="343">
        <f t="shared" si="0"/>
        <v>144.9</v>
      </c>
      <c r="H20" s="343">
        <f t="shared" si="1"/>
        <v>0.05937293233082706</v>
      </c>
      <c r="I20" s="343">
        <f t="shared" si="2"/>
        <v>0.006582365003417636</v>
      </c>
      <c r="J20" s="343">
        <f t="shared" si="3"/>
        <v>0.0659552973342447</v>
      </c>
      <c r="K20" s="343">
        <v>86.67</v>
      </c>
      <c r="L20" s="323">
        <f t="shared" si="4"/>
        <v>57.899147532042534</v>
      </c>
      <c r="M20" s="343">
        <f t="shared" si="5"/>
        <v>144.56914753204254</v>
      </c>
      <c r="N20" s="343">
        <f t="shared" si="6"/>
        <v>86.67</v>
      </c>
      <c r="O20" s="343">
        <f t="shared" si="7"/>
        <v>57.78</v>
      </c>
      <c r="P20" s="343">
        <f t="shared" si="8"/>
        <v>144.45</v>
      </c>
      <c r="Q20" s="343">
        <f t="shared" si="9"/>
        <v>0.05937293233083096</v>
      </c>
      <c r="R20" s="343">
        <f t="shared" si="10"/>
        <v>0.12572989704595017</v>
      </c>
      <c r="S20" s="343">
        <f t="shared" si="11"/>
        <v>0.18510282937680245</v>
      </c>
      <c r="T20" s="813"/>
      <c r="U20" s="9">
        <f t="shared" si="12"/>
        <v>963</v>
      </c>
      <c r="V20" s="9">
        <f t="shared" si="13"/>
        <v>963</v>
      </c>
      <c r="W20" s="604"/>
      <c r="X20" s="344"/>
      <c r="Y20" s="344"/>
      <c r="Z20" s="344"/>
      <c r="AA20" s="344"/>
    </row>
    <row r="21" spans="1:27" ht="18.75" customHeight="1">
      <c r="A21" s="8">
        <v>8</v>
      </c>
      <c r="B21" s="19" t="s">
        <v>483</v>
      </c>
      <c r="C21" s="9">
        <v>1180</v>
      </c>
      <c r="D21" s="382">
        <v>1114</v>
      </c>
      <c r="E21" s="343">
        <v>100.24</v>
      </c>
      <c r="F21" s="343">
        <v>66.96</v>
      </c>
      <c r="G21" s="343">
        <f t="shared" si="0"/>
        <v>167.2</v>
      </c>
      <c r="H21" s="343">
        <f t="shared" si="1"/>
        <v>0.06868270676691729</v>
      </c>
      <c r="I21" s="343">
        <f t="shared" si="2"/>
        <v>0.0076144907723855095</v>
      </c>
      <c r="J21" s="343">
        <f t="shared" si="3"/>
        <v>0.0762971975393028</v>
      </c>
      <c r="K21" s="343">
        <v>100.26</v>
      </c>
      <c r="L21" s="323">
        <f t="shared" si="4"/>
        <v>66.88969839105535</v>
      </c>
      <c r="M21" s="343">
        <f t="shared" si="5"/>
        <v>167.14969839105535</v>
      </c>
      <c r="N21" s="343">
        <f t="shared" si="6"/>
        <v>100.26</v>
      </c>
      <c r="O21" s="343">
        <f t="shared" si="7"/>
        <v>66.84</v>
      </c>
      <c r="P21" s="343">
        <f t="shared" si="8"/>
        <v>167.10000000000002</v>
      </c>
      <c r="Q21" s="343">
        <f t="shared" si="9"/>
        <v>0.06868270676692134</v>
      </c>
      <c r="R21" s="343">
        <f t="shared" si="10"/>
        <v>0.05731288182772687</v>
      </c>
      <c r="S21" s="343">
        <f t="shared" si="11"/>
        <v>0.125995588594634</v>
      </c>
      <c r="T21" s="814"/>
      <c r="U21" s="9">
        <f t="shared" si="12"/>
        <v>1114</v>
      </c>
      <c r="V21" s="9">
        <f t="shared" si="13"/>
        <v>1114</v>
      </c>
      <c r="W21" s="604"/>
      <c r="X21" s="344"/>
      <c r="Y21" s="344"/>
      <c r="Z21" s="344"/>
      <c r="AA21" s="344"/>
    </row>
    <row r="22" spans="1:27" ht="18.75" customHeight="1">
      <c r="A22" s="3"/>
      <c r="B22" s="27" t="s">
        <v>484</v>
      </c>
      <c r="C22" s="186">
        <f>SUM(C14:C21)</f>
        <v>7287</v>
      </c>
      <c r="D22" s="186">
        <f aca="true" t="shared" si="14" ref="D22:V22">SUM(D14:D21)</f>
        <v>7315</v>
      </c>
      <c r="E22" s="616">
        <f>SUM(E14:E21)</f>
        <v>660.06</v>
      </c>
      <c r="F22" s="616">
        <f t="shared" si="14"/>
        <v>440.03999999999996</v>
      </c>
      <c r="G22" s="616">
        <f t="shared" si="14"/>
        <v>1100.1</v>
      </c>
      <c r="H22" s="616">
        <f t="shared" si="14"/>
        <v>0.451</v>
      </c>
      <c r="I22" s="616">
        <f t="shared" si="14"/>
        <v>0.05</v>
      </c>
      <c r="J22" s="616">
        <f t="shared" si="14"/>
        <v>0.501</v>
      </c>
      <c r="K22" s="616">
        <f t="shared" si="14"/>
        <v>659.522787019362</v>
      </c>
      <c r="L22" s="343">
        <f t="shared" si="14"/>
        <v>439.5779999999999</v>
      </c>
      <c r="M22" s="343">
        <f t="shared" si="14"/>
        <v>1099.1007870193619</v>
      </c>
      <c r="N22" s="343">
        <f t="shared" si="14"/>
        <v>658.3499999999999</v>
      </c>
      <c r="O22" s="343">
        <f t="shared" si="14"/>
        <v>438.9</v>
      </c>
      <c r="P22" s="343">
        <f t="shared" si="14"/>
        <v>1097.25</v>
      </c>
      <c r="Q22" s="343">
        <f t="shared" si="14"/>
        <v>1.6237870193618775</v>
      </c>
      <c r="R22" s="343">
        <f t="shared" si="14"/>
        <v>0.7279999999999305</v>
      </c>
      <c r="S22" s="343">
        <f t="shared" si="14"/>
        <v>2.351787019361808</v>
      </c>
      <c r="T22" s="9"/>
      <c r="U22" s="9">
        <f t="shared" si="14"/>
        <v>7315</v>
      </c>
      <c r="V22" s="9">
        <f t="shared" si="14"/>
        <v>7315</v>
      </c>
      <c r="W22" s="604"/>
      <c r="X22" s="344"/>
      <c r="Y22" s="344"/>
      <c r="Z22" s="344"/>
      <c r="AA22" s="344"/>
    </row>
    <row r="24" spans="17:19" ht="12.75">
      <c r="Q24" t="s">
        <v>10</v>
      </c>
      <c r="S24" s="16" t="s">
        <v>10</v>
      </c>
    </row>
    <row r="26" spans="1:22" ht="12.75" customHeight="1">
      <c r="A26" s="15" t="s">
        <v>11</v>
      </c>
      <c r="B26" s="16"/>
      <c r="D26" s="86"/>
      <c r="F26" s="615"/>
      <c r="G26" s="615"/>
      <c r="H26" s="615"/>
      <c r="I26" s="615"/>
      <c r="J26" s="477"/>
      <c r="K26" s="477"/>
      <c r="L26" s="477"/>
      <c r="M26" s="244"/>
      <c r="N26" s="16"/>
      <c r="O26" s="16"/>
      <c r="Q26" s="86"/>
      <c r="S26" s="667"/>
      <c r="T26" s="667"/>
      <c r="U26" s="667"/>
      <c r="V26" s="667"/>
    </row>
    <row r="27" spans="2:22" ht="12.75" customHeight="1">
      <c r="B27" s="86"/>
      <c r="C27" s="464"/>
      <c r="D27" s="464"/>
      <c r="E27" s="464"/>
      <c r="F27" s="464"/>
      <c r="G27" s="464"/>
      <c r="H27" s="464"/>
      <c r="I27" s="464"/>
      <c r="J27" s="28"/>
      <c r="K27" s="28"/>
      <c r="L27" s="28"/>
      <c r="M27" s="86"/>
      <c r="N27" s="86" t="s">
        <v>10</v>
      </c>
      <c r="O27" s="86"/>
      <c r="P27" s="86"/>
      <c r="Q27" s="86"/>
      <c r="S27" s="667" t="s">
        <v>819</v>
      </c>
      <c r="T27" s="667"/>
      <c r="U27" s="667"/>
      <c r="V27" s="667"/>
    </row>
    <row r="28" spans="2:22" ht="12.75" customHeight="1">
      <c r="B28" s="86"/>
      <c r="C28" s="464"/>
      <c r="D28" s="464"/>
      <c r="E28" s="464"/>
      <c r="F28" s="464"/>
      <c r="G28" s="464"/>
      <c r="H28" s="464"/>
      <c r="I28" s="464"/>
      <c r="J28" s="419"/>
      <c r="K28" s="419"/>
      <c r="L28" s="28"/>
      <c r="M28" s="86"/>
      <c r="N28" s="86"/>
      <c r="O28" s="86"/>
      <c r="P28" s="86"/>
      <c r="Q28" s="86"/>
      <c r="S28" s="667" t="s">
        <v>488</v>
      </c>
      <c r="T28" s="667"/>
      <c r="U28" s="667"/>
      <c r="V28" s="667"/>
    </row>
    <row r="29" spans="3:21" ht="12.75">
      <c r="C29" s="464"/>
      <c r="D29" s="464"/>
      <c r="E29" s="464"/>
      <c r="F29" s="464"/>
      <c r="G29" s="464"/>
      <c r="H29" s="464"/>
      <c r="I29" s="464"/>
      <c r="J29" s="419"/>
      <c r="K29" s="419"/>
      <c r="L29" s="28"/>
      <c r="S29" s="699" t="s">
        <v>545</v>
      </c>
      <c r="T29" s="699"/>
      <c r="U29" s="699"/>
    </row>
    <row r="30" spans="3:12" ht="12.75">
      <c r="C30" s="464"/>
      <c r="D30" s="464"/>
      <c r="E30" s="464"/>
      <c r="F30" s="464"/>
      <c r="G30" s="464"/>
      <c r="H30" s="464"/>
      <c r="I30" s="464"/>
      <c r="J30" s="28"/>
      <c r="K30" s="28"/>
      <c r="L30" s="28"/>
    </row>
    <row r="31" spans="3:20" ht="12.75">
      <c r="C31" s="464"/>
      <c r="D31" s="464"/>
      <c r="E31" s="464"/>
      <c r="F31" s="464"/>
      <c r="G31" s="464"/>
      <c r="H31" s="464"/>
      <c r="I31" s="464"/>
      <c r="J31" s="28"/>
      <c r="K31" s="28"/>
      <c r="L31" s="28"/>
      <c r="S31" s="16"/>
      <c r="T31" s="16"/>
    </row>
    <row r="32" spans="3:14" ht="12.75">
      <c r="C32" s="464"/>
      <c r="D32" s="464"/>
      <c r="E32" s="464"/>
      <c r="F32" s="464"/>
      <c r="G32" s="464"/>
      <c r="H32" s="464"/>
      <c r="I32" s="464"/>
      <c r="J32" s="28"/>
      <c r="K32" s="28"/>
      <c r="L32" s="28"/>
      <c r="N32" s="16" t="s">
        <v>403</v>
      </c>
    </row>
    <row r="33" spans="3:16" ht="12.75">
      <c r="C33" s="464"/>
      <c r="D33" s="464"/>
      <c r="E33" s="464"/>
      <c r="F33" s="464"/>
      <c r="G33" s="464"/>
      <c r="H33" s="464"/>
      <c r="I33" s="464"/>
      <c r="J33" s="28"/>
      <c r="K33" s="28"/>
      <c r="L33" s="28"/>
      <c r="M33" s="347"/>
      <c r="N33" s="347"/>
      <c r="O33" s="344"/>
      <c r="P33" s="344"/>
    </row>
    <row r="34" spans="3:16" ht="12.75">
      <c r="C34" s="28"/>
      <c r="D34" s="513"/>
      <c r="E34" s="505"/>
      <c r="F34" s="464"/>
      <c r="G34" s="13"/>
      <c r="H34" s="13"/>
      <c r="I34" s="464"/>
      <c r="J34" s="464"/>
      <c r="K34" s="13"/>
      <c r="L34" s="13"/>
      <c r="M34" s="347"/>
      <c r="N34" s="347"/>
      <c r="O34" s="344"/>
      <c r="P34" s="344"/>
    </row>
    <row r="35" spans="3:16" ht="12.75">
      <c r="C35" s="28"/>
      <c r="D35" s="513"/>
      <c r="E35" s="505"/>
      <c r="F35" s="464"/>
      <c r="I35" s="347"/>
      <c r="J35" s="347"/>
      <c r="M35" s="347"/>
      <c r="N35" s="347"/>
      <c r="O35" s="344"/>
      <c r="P35" s="344"/>
    </row>
    <row r="36" spans="3:16" ht="12.75">
      <c r="C36" s="28"/>
      <c r="D36" s="513"/>
      <c r="E36" s="505"/>
      <c r="F36" s="464"/>
      <c r="I36" s="347"/>
      <c r="J36" s="347"/>
      <c r="M36" s="347"/>
      <c r="N36" s="347"/>
      <c r="O36" s="344"/>
      <c r="P36" s="344"/>
    </row>
    <row r="37" spans="3:16" ht="12.75">
      <c r="C37" s="28"/>
      <c r="D37" s="513"/>
      <c r="E37" s="505"/>
      <c r="F37" s="464"/>
      <c r="G37" s="13"/>
      <c r="H37" s="13"/>
      <c r="I37" s="464"/>
      <c r="J37" s="464"/>
      <c r="K37" s="347"/>
      <c r="M37" s="347"/>
      <c r="N37" s="347"/>
      <c r="O37" s="344"/>
      <c r="P37" s="344"/>
    </row>
    <row r="38" spans="3:16" ht="12.75">
      <c r="C38" s="28"/>
      <c r="D38" s="513"/>
      <c r="E38" s="513"/>
      <c r="F38" s="513"/>
      <c r="G38" s="13"/>
      <c r="H38" s="13"/>
      <c r="I38" s="464"/>
      <c r="J38" s="464"/>
      <c r="K38" s="347"/>
      <c r="M38" s="347"/>
      <c r="N38" s="347"/>
      <c r="O38" s="344"/>
      <c r="P38" s="344"/>
    </row>
    <row r="39" spans="3:16" ht="12.75">
      <c r="C39" s="13"/>
      <c r="D39" s="514"/>
      <c r="E39" s="515"/>
      <c r="F39" s="13"/>
      <c r="G39" s="13"/>
      <c r="H39" s="13"/>
      <c r="I39" s="464"/>
      <c r="J39" s="464"/>
      <c r="K39" s="347"/>
      <c r="M39" s="347"/>
      <c r="N39" s="347"/>
      <c r="O39" s="344"/>
      <c r="P39" s="344"/>
    </row>
    <row r="40" spans="4:20" ht="12.75">
      <c r="D40" s="465"/>
      <c r="E40" s="464"/>
      <c r="F40" s="13"/>
      <c r="G40" s="13"/>
      <c r="H40" s="13"/>
      <c r="I40" s="464"/>
      <c r="J40" s="464"/>
      <c r="K40" s="347"/>
      <c r="M40" s="347"/>
      <c r="N40" s="347"/>
      <c r="O40" s="344"/>
      <c r="P40" s="344"/>
      <c r="T40" s="16"/>
    </row>
    <row r="41" spans="4:16" ht="12.75">
      <c r="D41" s="465"/>
      <c r="E41" s="464"/>
      <c r="F41" s="13"/>
      <c r="G41" s="13"/>
      <c r="H41" s="13"/>
      <c r="I41" s="464"/>
      <c r="J41" s="464"/>
      <c r="K41" s="347"/>
      <c r="M41" s="347"/>
      <c r="N41" s="347"/>
      <c r="O41" s="344"/>
      <c r="P41" s="344"/>
    </row>
    <row r="42" spans="4:11" ht="12.75">
      <c r="D42" s="465"/>
      <c r="E42" s="464"/>
      <c r="F42" s="13"/>
      <c r="G42" s="13"/>
      <c r="H42" s="13"/>
      <c r="I42" s="464"/>
      <c r="J42" s="464"/>
      <c r="K42" s="347"/>
    </row>
    <row r="43" spans="4:10" ht="12.75">
      <c r="D43" s="465"/>
      <c r="E43" s="464"/>
      <c r="F43" s="13"/>
      <c r="G43" s="13"/>
      <c r="H43" s="13"/>
      <c r="I43" s="13"/>
      <c r="J43" s="13"/>
    </row>
    <row r="44" spans="4:10" ht="12.75">
      <c r="D44" s="465"/>
      <c r="E44" s="464"/>
      <c r="F44" s="13"/>
      <c r="G44" s="13"/>
      <c r="H44" s="13"/>
      <c r="I44" s="13"/>
      <c r="J44" s="13"/>
    </row>
    <row r="45" spans="4:10" ht="12.75">
      <c r="D45" s="465"/>
      <c r="E45" s="464"/>
      <c r="F45" s="13"/>
      <c r="G45" s="13"/>
      <c r="H45" s="13"/>
      <c r="I45" s="13"/>
      <c r="J45" s="13"/>
    </row>
    <row r="46" spans="4:10" ht="12.75">
      <c r="D46" s="465"/>
      <c r="E46" s="464"/>
      <c r="F46" s="13"/>
      <c r="G46" s="13"/>
      <c r="H46" s="13"/>
      <c r="I46" s="13"/>
      <c r="J46" s="13"/>
    </row>
    <row r="47" spans="4:10" ht="12.75">
      <c r="D47" s="465"/>
      <c r="E47" s="464"/>
      <c r="F47" s="13"/>
      <c r="G47" s="13"/>
      <c r="H47" s="13"/>
      <c r="I47" s="13"/>
      <c r="J47" s="13"/>
    </row>
    <row r="48" spans="4:10" ht="12.75">
      <c r="D48" s="13"/>
      <c r="E48" s="13"/>
      <c r="F48" s="13"/>
      <c r="G48" s="13"/>
      <c r="H48" s="13"/>
      <c r="I48" s="13"/>
      <c r="J48" s="13"/>
    </row>
  </sheetData>
  <sheetProtection/>
  <mergeCells count="23">
    <mergeCell ref="U1:V1"/>
    <mergeCell ref="A5:Q5"/>
    <mergeCell ref="D11:D12"/>
    <mergeCell ref="U11:U12"/>
    <mergeCell ref="T11:T12"/>
    <mergeCell ref="C11:C12"/>
    <mergeCell ref="A11:A12"/>
    <mergeCell ref="A3:V3"/>
    <mergeCell ref="A4:V4"/>
    <mergeCell ref="A6:V6"/>
    <mergeCell ref="S10:V10"/>
    <mergeCell ref="B11:B12"/>
    <mergeCell ref="V11:V12"/>
    <mergeCell ref="E11:G11"/>
    <mergeCell ref="S28:V28"/>
    <mergeCell ref="S26:V26"/>
    <mergeCell ref="K11:M11"/>
    <mergeCell ref="S29:U29"/>
    <mergeCell ref="H11:J11"/>
    <mergeCell ref="Q11:S11"/>
    <mergeCell ref="N11:P11"/>
    <mergeCell ref="S27:V27"/>
    <mergeCell ref="T14:T21"/>
  </mergeCells>
  <printOptions horizontalCentered="1"/>
  <pageMargins left="0.34" right="0.19" top="1.7" bottom="0" header="1.27"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pageSetUpPr fitToPage="1"/>
  </sheetPr>
  <dimension ref="A1:W43"/>
  <sheetViews>
    <sheetView view="pageBreakPreview" zoomScale="90" zoomScaleSheetLayoutView="90" zoomScalePageLayoutView="0" workbookViewId="0" topLeftCell="A4">
      <selection activeCell="T13" sqref="T13:T20"/>
    </sheetView>
  </sheetViews>
  <sheetFormatPr defaultColWidth="9.140625" defaultRowHeight="12.75"/>
  <cols>
    <col min="1" max="1" width="5.28125" style="0" customWidth="1"/>
    <col min="2" max="2" width="11.57421875" style="0" customWidth="1"/>
    <col min="3" max="3" width="13.7109375" style="0" customWidth="1"/>
    <col min="4" max="4" width="11.140625" style="0" customWidth="1"/>
    <col min="5" max="10" width="8.7109375" style="0" customWidth="1"/>
    <col min="20" max="22" width="12.00390625" style="0" customWidth="1"/>
  </cols>
  <sheetData>
    <row r="1" spans="20:22" ht="15">
      <c r="T1" s="744" t="s">
        <v>202</v>
      </c>
      <c r="U1" s="744"/>
      <c r="V1" s="744"/>
    </row>
    <row r="2" spans="1:22" ht="15">
      <c r="A2" s="751" t="s">
        <v>0</v>
      </c>
      <c r="B2" s="751"/>
      <c r="C2" s="751"/>
      <c r="D2" s="751"/>
      <c r="E2" s="751"/>
      <c r="F2" s="751"/>
      <c r="G2" s="751"/>
      <c r="H2" s="751"/>
      <c r="I2" s="751"/>
      <c r="J2" s="751"/>
      <c r="K2" s="751"/>
      <c r="L2" s="751"/>
      <c r="M2" s="751"/>
      <c r="N2" s="751"/>
      <c r="O2" s="751"/>
      <c r="P2" s="751"/>
      <c r="Q2" s="751"/>
      <c r="R2" s="751"/>
      <c r="S2" s="751"/>
      <c r="T2" s="751"/>
      <c r="U2" s="751"/>
      <c r="V2" s="751"/>
    </row>
    <row r="3" spans="1:22" ht="20.25">
      <c r="A3" s="733" t="s">
        <v>854</v>
      </c>
      <c r="B3" s="733"/>
      <c r="C3" s="733"/>
      <c r="D3" s="733"/>
      <c r="E3" s="733"/>
      <c r="F3" s="733"/>
      <c r="G3" s="733"/>
      <c r="H3" s="733"/>
      <c r="I3" s="733"/>
      <c r="J3" s="733"/>
      <c r="K3" s="733"/>
      <c r="L3" s="733"/>
      <c r="M3" s="733"/>
      <c r="N3" s="733"/>
      <c r="O3" s="733"/>
      <c r="P3" s="733"/>
      <c r="Q3" s="733"/>
      <c r="R3" s="733"/>
      <c r="S3" s="733"/>
      <c r="T3" s="733"/>
      <c r="U3" s="733"/>
      <c r="V3" s="733"/>
    </row>
    <row r="5" spans="1:22" ht="15.75">
      <c r="A5" s="646" t="s">
        <v>946</v>
      </c>
      <c r="B5" s="646"/>
      <c r="C5" s="646"/>
      <c r="D5" s="646"/>
      <c r="E5" s="646"/>
      <c r="F5" s="646"/>
      <c r="G5" s="646"/>
      <c r="H5" s="646"/>
      <c r="I5" s="646"/>
      <c r="J5" s="646"/>
      <c r="K5" s="646"/>
      <c r="L5" s="646"/>
      <c r="M5" s="646"/>
      <c r="N5" s="646"/>
      <c r="O5" s="646"/>
      <c r="P5" s="646"/>
      <c r="Q5" s="646"/>
      <c r="R5" s="646"/>
      <c r="S5" s="646"/>
      <c r="T5" s="646"/>
      <c r="U5" s="646"/>
      <c r="V5" s="646"/>
    </row>
    <row r="6" spans="1:21" ht="12.75">
      <c r="A6" s="31"/>
      <c r="B6" s="31"/>
      <c r="C6" s="149"/>
      <c r="D6" s="31"/>
      <c r="E6" s="31"/>
      <c r="F6" s="31"/>
      <c r="G6" s="31"/>
      <c r="H6" s="31"/>
      <c r="I6" s="31"/>
      <c r="J6" s="31"/>
      <c r="K6" s="31"/>
      <c r="L6" s="31"/>
      <c r="M6" s="31"/>
      <c r="N6" s="31"/>
      <c r="O6" s="31"/>
      <c r="P6" s="31"/>
      <c r="Q6" s="31"/>
      <c r="U6" s="31"/>
    </row>
    <row r="7" spans="1:17" ht="15.75">
      <c r="A7" s="815" t="s">
        <v>498</v>
      </c>
      <c r="B7" s="815"/>
      <c r="C7" s="815"/>
      <c r="D7" s="815"/>
      <c r="E7" s="815"/>
      <c r="F7" s="815"/>
      <c r="G7" s="815"/>
      <c r="H7" s="815"/>
      <c r="I7" s="815"/>
      <c r="J7" s="815"/>
      <c r="K7" s="815"/>
      <c r="L7" s="815"/>
      <c r="M7" s="815"/>
      <c r="N7" s="815"/>
      <c r="O7" s="815"/>
      <c r="P7" s="815"/>
      <c r="Q7" s="815"/>
    </row>
    <row r="8" spans="1:21" ht="15.75">
      <c r="A8" s="48"/>
      <c r="B8" s="41"/>
      <c r="C8" s="41"/>
      <c r="D8" s="41"/>
      <c r="E8" s="41"/>
      <c r="F8" s="41"/>
      <c r="G8" s="41"/>
      <c r="H8" s="41"/>
      <c r="I8" s="41"/>
      <c r="J8" s="41"/>
      <c r="K8" s="41"/>
      <c r="L8" s="41"/>
      <c r="M8" s="41"/>
      <c r="N8" s="41"/>
      <c r="O8" s="41"/>
      <c r="Q8" s="31"/>
      <c r="R8" s="31"/>
      <c r="S8" s="31"/>
      <c r="U8" s="31" t="s">
        <v>221</v>
      </c>
    </row>
    <row r="9" spans="20:23" ht="12.75">
      <c r="T9" s="817" t="s">
        <v>933</v>
      </c>
      <c r="U9" s="817"/>
      <c r="V9" s="817"/>
      <c r="W9" s="817"/>
    </row>
    <row r="10" spans="1:22" s="270" customFormat="1" ht="28.5" customHeight="1">
      <c r="A10" s="714" t="s">
        <v>497</v>
      </c>
      <c r="B10" s="714" t="s">
        <v>200</v>
      </c>
      <c r="C10" s="714" t="s">
        <v>375</v>
      </c>
      <c r="D10" s="714" t="s">
        <v>376</v>
      </c>
      <c r="E10" s="678" t="s">
        <v>916</v>
      </c>
      <c r="F10" s="678"/>
      <c r="G10" s="678"/>
      <c r="H10" s="683" t="s">
        <v>942</v>
      </c>
      <c r="I10" s="753"/>
      <c r="J10" s="684"/>
      <c r="K10" s="720" t="s">
        <v>378</v>
      </c>
      <c r="L10" s="721"/>
      <c r="M10" s="804"/>
      <c r="N10" s="708" t="s">
        <v>157</v>
      </c>
      <c r="O10" s="709"/>
      <c r="P10" s="710"/>
      <c r="Q10" s="653" t="s">
        <v>945</v>
      </c>
      <c r="R10" s="653"/>
      <c r="S10" s="653"/>
      <c r="T10" s="714" t="s">
        <v>247</v>
      </c>
      <c r="U10" s="714" t="s">
        <v>427</v>
      </c>
      <c r="V10" s="714" t="s">
        <v>379</v>
      </c>
    </row>
    <row r="11" spans="1:22" s="270" customFormat="1" ht="56.25" customHeight="1">
      <c r="A11" s="716"/>
      <c r="B11" s="716"/>
      <c r="C11" s="716"/>
      <c r="D11" s="716"/>
      <c r="E11" s="257" t="s">
        <v>175</v>
      </c>
      <c r="F11" s="257" t="s">
        <v>201</v>
      </c>
      <c r="G11" s="257" t="s">
        <v>15</v>
      </c>
      <c r="H11" s="257" t="s">
        <v>175</v>
      </c>
      <c r="I11" s="257" t="s">
        <v>201</v>
      </c>
      <c r="J11" s="257" t="s">
        <v>15</v>
      </c>
      <c r="K11" s="257" t="s">
        <v>175</v>
      </c>
      <c r="L11" s="257" t="s">
        <v>201</v>
      </c>
      <c r="M11" s="257" t="s">
        <v>15</v>
      </c>
      <c r="N11" s="257" t="s">
        <v>175</v>
      </c>
      <c r="O11" s="257" t="s">
        <v>201</v>
      </c>
      <c r="P11" s="257" t="s">
        <v>15</v>
      </c>
      <c r="Q11" s="257" t="s">
        <v>234</v>
      </c>
      <c r="R11" s="257" t="s">
        <v>213</v>
      </c>
      <c r="S11" s="257" t="s">
        <v>214</v>
      </c>
      <c r="T11" s="716"/>
      <c r="U11" s="716"/>
      <c r="V11" s="716"/>
    </row>
    <row r="12" spans="1:22" ht="12.75">
      <c r="A12" s="148">
        <v>1</v>
      </c>
      <c r="B12" s="107">
        <v>2</v>
      </c>
      <c r="C12" s="8">
        <v>3</v>
      </c>
      <c r="D12" s="148">
        <v>4</v>
      </c>
      <c r="E12" s="107">
        <v>5</v>
      </c>
      <c r="F12" s="8">
        <v>6</v>
      </c>
      <c r="G12" s="148">
        <v>7</v>
      </c>
      <c r="H12" s="107">
        <v>8</v>
      </c>
      <c r="I12" s="8">
        <v>9</v>
      </c>
      <c r="J12" s="148">
        <v>10</v>
      </c>
      <c r="K12" s="107">
        <v>11</v>
      </c>
      <c r="L12" s="8">
        <v>12</v>
      </c>
      <c r="M12" s="148">
        <v>13</v>
      </c>
      <c r="N12" s="107">
        <v>14</v>
      </c>
      <c r="O12" s="8">
        <v>15</v>
      </c>
      <c r="P12" s="148">
        <v>16</v>
      </c>
      <c r="Q12" s="107">
        <v>17</v>
      </c>
      <c r="R12" s="8">
        <v>18</v>
      </c>
      <c r="S12" s="148">
        <v>19</v>
      </c>
      <c r="T12" s="107">
        <v>20</v>
      </c>
      <c r="U12" s="148">
        <v>21</v>
      </c>
      <c r="V12" s="107">
        <v>22</v>
      </c>
    </row>
    <row r="13" spans="1:22" ht="18.75" customHeight="1">
      <c r="A13" s="8">
        <v>1</v>
      </c>
      <c r="B13" s="19" t="s">
        <v>476</v>
      </c>
      <c r="C13" s="9">
        <v>629</v>
      </c>
      <c r="D13" s="382">
        <v>582</v>
      </c>
      <c r="E13" s="343">
        <v>52.38</v>
      </c>
      <c r="F13" s="343">
        <f>221.64*E13/332.46</f>
        <v>34.92</v>
      </c>
      <c r="G13" s="343">
        <f>SUM(E13:F13)</f>
        <v>87.30000000000001</v>
      </c>
      <c r="H13" s="343">
        <f>0.361*D13/3687</f>
        <v>0.056984540276647684</v>
      </c>
      <c r="I13" s="343">
        <f>0.04*C13/3694</f>
        <v>0.00681104493773687</v>
      </c>
      <c r="J13" s="343">
        <f>SUM(H13:I13)</f>
        <v>0.06379558521438455</v>
      </c>
      <c r="K13" s="343">
        <f>332.19*E13/332.46</f>
        <v>52.33746074715756</v>
      </c>
      <c r="L13" s="343">
        <f>221.408*F13/221.64+0.04</f>
        <v>34.92344775311316</v>
      </c>
      <c r="M13" s="343">
        <f>SUM(K13:L13)</f>
        <v>87.26090850027072</v>
      </c>
      <c r="N13" s="343">
        <f>D13*900*10/100000</f>
        <v>52.38</v>
      </c>
      <c r="O13" s="343">
        <f>(D13*600*10/100000)</f>
        <v>34.92</v>
      </c>
      <c r="P13" s="343">
        <f>SUM(N13:O13)</f>
        <v>87.30000000000001</v>
      </c>
      <c r="Q13" s="343">
        <f>(H13+K13)-N13</f>
        <v>0.014445287434199372</v>
      </c>
      <c r="R13" s="343">
        <f>(I13+L13)-O13</f>
        <v>0.010258798050891471</v>
      </c>
      <c r="S13" s="343">
        <f>(J13+M13)-P13</f>
        <v>0.024704085485083738</v>
      </c>
      <c r="T13" s="816" t="s">
        <v>511</v>
      </c>
      <c r="U13" s="9">
        <f>D13</f>
        <v>582</v>
      </c>
      <c r="V13" s="9">
        <f>U13</f>
        <v>582</v>
      </c>
    </row>
    <row r="14" spans="1:22" ht="18.75" customHeight="1">
      <c r="A14" s="8">
        <v>2</v>
      </c>
      <c r="B14" s="19" t="s">
        <v>477</v>
      </c>
      <c r="C14" s="9">
        <v>512</v>
      </c>
      <c r="D14" s="382">
        <v>514</v>
      </c>
      <c r="E14" s="343">
        <v>46.35</v>
      </c>
      <c r="F14" s="343">
        <f aca="true" t="shared" si="0" ref="F14:F20">221.64*E14/332.46</f>
        <v>30.9</v>
      </c>
      <c r="G14" s="343">
        <f aca="true" t="shared" si="1" ref="G14:G20">SUM(E14:F14)</f>
        <v>77.25</v>
      </c>
      <c r="H14" s="343">
        <f aca="true" t="shared" si="2" ref="H14:H20">0.361*D14/3687</f>
        <v>0.05032655275291565</v>
      </c>
      <c r="I14" s="343">
        <f aca="true" t="shared" si="3" ref="I14:I20">0.04*C14/3694</f>
        <v>0.0055441256090958315</v>
      </c>
      <c r="J14" s="343">
        <f aca="true" t="shared" si="4" ref="J14:J20">SUM(H14:I14)</f>
        <v>0.05587067836201148</v>
      </c>
      <c r="K14" s="343">
        <f aca="true" t="shared" si="5" ref="K14:K20">332.19*E14/332.46</f>
        <v>46.312357877639414</v>
      </c>
      <c r="L14" s="343">
        <f aca="true" t="shared" si="6" ref="L14:L19">221.408*F14/221.64</f>
        <v>30.867655657823494</v>
      </c>
      <c r="M14" s="343">
        <f aca="true" t="shared" si="7" ref="M14:M20">SUM(K14:L14)</f>
        <v>77.1800135354629</v>
      </c>
      <c r="N14" s="343">
        <f aca="true" t="shared" si="8" ref="N14:N20">D14*900*10/100000</f>
        <v>46.26</v>
      </c>
      <c r="O14" s="343">
        <f aca="true" t="shared" si="9" ref="O14:O20">(D14*600*10/100000)</f>
        <v>30.84</v>
      </c>
      <c r="P14" s="343">
        <f aca="true" t="shared" si="10" ref="P14:P20">SUM(N14:O14)</f>
        <v>77.1</v>
      </c>
      <c r="Q14" s="343">
        <f aca="true" t="shared" si="11" ref="Q14:Q20">(H14+K14)-N14</f>
        <v>0.10268443039232977</v>
      </c>
      <c r="R14" s="343">
        <f aca="true" t="shared" si="12" ref="R14:R20">(I14+L14)-O14</f>
        <v>0.03319978343258967</v>
      </c>
      <c r="S14" s="343">
        <f aca="true" t="shared" si="13" ref="S14:S20">(J14+M14)-P14</f>
        <v>0.135884213824923</v>
      </c>
      <c r="T14" s="749"/>
      <c r="U14" s="9">
        <f aca="true" t="shared" si="14" ref="U14:U20">D14</f>
        <v>514</v>
      </c>
      <c r="V14" s="9">
        <f aca="true" t="shared" si="15" ref="V14:V20">U14</f>
        <v>514</v>
      </c>
    </row>
    <row r="15" spans="1:22" ht="18.75" customHeight="1">
      <c r="A15" s="8">
        <v>3</v>
      </c>
      <c r="B15" s="19" t="s">
        <v>478</v>
      </c>
      <c r="C15" s="9">
        <v>386</v>
      </c>
      <c r="D15" s="382">
        <v>387</v>
      </c>
      <c r="E15" s="343">
        <v>34.92</v>
      </c>
      <c r="F15" s="343">
        <f t="shared" si="0"/>
        <v>23.28</v>
      </c>
      <c r="G15" s="343">
        <f t="shared" si="1"/>
        <v>58.2</v>
      </c>
      <c r="H15" s="343">
        <f t="shared" si="2"/>
        <v>0.03789178193653377</v>
      </c>
      <c r="I15" s="343">
        <f t="shared" si="3"/>
        <v>0.004179750947482404</v>
      </c>
      <c r="J15" s="343">
        <f t="shared" si="4"/>
        <v>0.04207153288401617</v>
      </c>
      <c r="K15" s="343">
        <f t="shared" si="5"/>
        <v>34.89164049810504</v>
      </c>
      <c r="L15" s="343">
        <f t="shared" si="6"/>
        <v>23.25563183540877</v>
      </c>
      <c r="M15" s="343">
        <f t="shared" si="7"/>
        <v>58.14727233351381</v>
      </c>
      <c r="N15" s="343">
        <f t="shared" si="8"/>
        <v>34.83</v>
      </c>
      <c r="O15" s="343">
        <f t="shared" si="9"/>
        <v>23.22</v>
      </c>
      <c r="P15" s="343">
        <f t="shared" si="10"/>
        <v>58.05</v>
      </c>
      <c r="Q15" s="343">
        <f t="shared" si="11"/>
        <v>0.09953228004157921</v>
      </c>
      <c r="R15" s="343">
        <f t="shared" si="12"/>
        <v>0.03981158635625448</v>
      </c>
      <c r="S15" s="343">
        <f t="shared" si="13"/>
        <v>0.13934386639783014</v>
      </c>
      <c r="T15" s="749"/>
      <c r="U15" s="9">
        <f t="shared" si="14"/>
        <v>387</v>
      </c>
      <c r="V15" s="9">
        <f t="shared" si="15"/>
        <v>387</v>
      </c>
    </row>
    <row r="16" spans="1:22" ht="18.75" customHeight="1">
      <c r="A16" s="8">
        <v>4</v>
      </c>
      <c r="B16" s="19" t="s">
        <v>479</v>
      </c>
      <c r="C16" s="9">
        <v>424</v>
      </c>
      <c r="D16" s="382">
        <v>415</v>
      </c>
      <c r="E16" s="343">
        <v>37.43</v>
      </c>
      <c r="F16" s="343">
        <f t="shared" si="0"/>
        <v>24.953333333333333</v>
      </c>
      <c r="G16" s="343">
        <f t="shared" si="1"/>
        <v>62.38333333333333</v>
      </c>
      <c r="H16" s="343">
        <f t="shared" si="2"/>
        <v>0.04063330621101166</v>
      </c>
      <c r="I16" s="343">
        <f t="shared" si="3"/>
        <v>0.004591229020032486</v>
      </c>
      <c r="J16" s="343">
        <f t="shared" si="4"/>
        <v>0.045224535231044145</v>
      </c>
      <c r="K16" s="343">
        <f t="shared" si="5"/>
        <v>37.39960205739036</v>
      </c>
      <c r="L16" s="343">
        <f t="shared" si="6"/>
        <v>24.92721361968357</v>
      </c>
      <c r="M16" s="343">
        <f t="shared" si="7"/>
        <v>62.32681567707393</v>
      </c>
      <c r="N16" s="343">
        <f t="shared" si="8"/>
        <v>37.35</v>
      </c>
      <c r="O16" s="343">
        <f t="shared" si="9"/>
        <v>24.9</v>
      </c>
      <c r="P16" s="343">
        <f t="shared" si="10"/>
        <v>62.25</v>
      </c>
      <c r="Q16" s="343">
        <f t="shared" si="11"/>
        <v>0.09023536360137285</v>
      </c>
      <c r="R16" s="343">
        <f t="shared" si="12"/>
        <v>0.03180484870360445</v>
      </c>
      <c r="S16" s="343">
        <f t="shared" si="13"/>
        <v>0.12204021230497375</v>
      </c>
      <c r="T16" s="749"/>
      <c r="U16" s="9">
        <f t="shared" si="14"/>
        <v>415</v>
      </c>
      <c r="V16" s="9">
        <f t="shared" si="15"/>
        <v>415</v>
      </c>
    </row>
    <row r="17" spans="1:22" ht="18.75" customHeight="1">
      <c r="A17" s="8">
        <v>5</v>
      </c>
      <c r="B17" s="19" t="s">
        <v>480</v>
      </c>
      <c r="C17" s="9">
        <v>532</v>
      </c>
      <c r="D17" s="382">
        <v>573</v>
      </c>
      <c r="E17" s="343">
        <v>51.56</v>
      </c>
      <c r="F17" s="343">
        <f t="shared" si="0"/>
        <v>34.373333333333335</v>
      </c>
      <c r="G17" s="343">
        <f t="shared" si="1"/>
        <v>85.93333333333334</v>
      </c>
      <c r="H17" s="343">
        <f t="shared" si="2"/>
        <v>0.05610333604556549</v>
      </c>
      <c r="I17" s="343">
        <f t="shared" si="3"/>
        <v>0.005760693015701137</v>
      </c>
      <c r="J17" s="343">
        <f t="shared" si="4"/>
        <v>0.06186402906126663</v>
      </c>
      <c r="K17" s="343">
        <f t="shared" si="5"/>
        <v>51.51812669193287</v>
      </c>
      <c r="L17" s="343">
        <v>34.4</v>
      </c>
      <c r="M17" s="343">
        <f t="shared" si="7"/>
        <v>85.91812669193287</v>
      </c>
      <c r="N17" s="343">
        <f t="shared" si="8"/>
        <v>51.57</v>
      </c>
      <c r="O17" s="343">
        <f t="shared" si="9"/>
        <v>34.38</v>
      </c>
      <c r="P17" s="343">
        <f t="shared" si="10"/>
        <v>85.95</v>
      </c>
      <c r="Q17" s="343">
        <f t="shared" si="11"/>
        <v>0.004230027978437079</v>
      </c>
      <c r="R17" s="343">
        <f t="shared" si="12"/>
        <v>0.025760693015698166</v>
      </c>
      <c r="S17" s="343">
        <f t="shared" si="13"/>
        <v>0.029990720994135245</v>
      </c>
      <c r="T17" s="749"/>
      <c r="U17" s="9">
        <f t="shared" si="14"/>
        <v>573</v>
      </c>
      <c r="V17" s="9">
        <f t="shared" si="15"/>
        <v>573</v>
      </c>
    </row>
    <row r="18" spans="1:22" ht="18.75" customHeight="1">
      <c r="A18" s="8">
        <v>6</v>
      </c>
      <c r="B18" s="19" t="s">
        <v>481</v>
      </c>
      <c r="C18" s="9">
        <v>286</v>
      </c>
      <c r="D18" s="382">
        <v>273</v>
      </c>
      <c r="E18" s="343">
        <v>24.66</v>
      </c>
      <c r="F18" s="343">
        <f t="shared" si="0"/>
        <v>16.44</v>
      </c>
      <c r="G18" s="343">
        <f t="shared" si="1"/>
        <v>41.1</v>
      </c>
      <c r="H18" s="343">
        <f t="shared" si="2"/>
        <v>0.02672986167615948</v>
      </c>
      <c r="I18" s="343">
        <f t="shared" si="3"/>
        <v>0.003096913914455874</v>
      </c>
      <c r="J18" s="343">
        <f t="shared" si="4"/>
        <v>0.029826775590615355</v>
      </c>
      <c r="K18" s="343">
        <f t="shared" si="5"/>
        <v>24.639972929074176</v>
      </c>
      <c r="L18" s="343">
        <f>221.408*F18/221.64-0.04</f>
        <v>16.382791553871144</v>
      </c>
      <c r="M18" s="343">
        <f t="shared" si="7"/>
        <v>41.02276448294532</v>
      </c>
      <c r="N18" s="343">
        <f t="shared" si="8"/>
        <v>24.57</v>
      </c>
      <c r="O18" s="343">
        <f t="shared" si="9"/>
        <v>16.38</v>
      </c>
      <c r="P18" s="343">
        <f t="shared" si="10"/>
        <v>40.95</v>
      </c>
      <c r="Q18" s="343">
        <f t="shared" si="11"/>
        <v>0.09670279075033505</v>
      </c>
      <c r="R18" s="343">
        <f t="shared" si="12"/>
        <v>0.005888467785599261</v>
      </c>
      <c r="S18" s="343">
        <f t="shared" si="13"/>
        <v>0.10259125853593076</v>
      </c>
      <c r="T18" s="749"/>
      <c r="U18" s="9">
        <f t="shared" si="14"/>
        <v>273</v>
      </c>
      <c r="V18" s="9">
        <f t="shared" si="15"/>
        <v>273</v>
      </c>
    </row>
    <row r="19" spans="1:22" ht="18.75" customHeight="1">
      <c r="A19" s="8">
        <v>7</v>
      </c>
      <c r="B19" s="19" t="s">
        <v>482</v>
      </c>
      <c r="C19" s="9">
        <v>434</v>
      </c>
      <c r="D19" s="382">
        <v>359</v>
      </c>
      <c r="E19" s="343">
        <v>32.4</v>
      </c>
      <c r="F19" s="343">
        <f t="shared" si="0"/>
        <v>21.6</v>
      </c>
      <c r="G19" s="343">
        <f t="shared" si="1"/>
        <v>54</v>
      </c>
      <c r="H19" s="343">
        <f t="shared" si="2"/>
        <v>0.035150257662055866</v>
      </c>
      <c r="I19" s="343">
        <f t="shared" si="3"/>
        <v>0.004699512723335138</v>
      </c>
      <c r="J19" s="343">
        <f t="shared" si="4"/>
        <v>0.039849770385391</v>
      </c>
      <c r="K19" s="343">
        <f t="shared" si="5"/>
        <v>32.37368706009746</v>
      </c>
      <c r="L19" s="343">
        <f t="shared" si="6"/>
        <v>21.577390362750407</v>
      </c>
      <c r="M19" s="343">
        <f t="shared" si="7"/>
        <v>53.95107742284787</v>
      </c>
      <c r="N19" s="343">
        <f t="shared" si="8"/>
        <v>32.31</v>
      </c>
      <c r="O19" s="343">
        <f t="shared" si="9"/>
        <v>21.54</v>
      </c>
      <c r="P19" s="343">
        <f t="shared" si="10"/>
        <v>53.85</v>
      </c>
      <c r="Q19" s="343">
        <f t="shared" si="11"/>
        <v>0.09883731775951077</v>
      </c>
      <c r="R19" s="343">
        <f t="shared" si="12"/>
        <v>0.04208987547374221</v>
      </c>
      <c r="S19" s="343">
        <f t="shared" si="13"/>
        <v>0.14092719323325298</v>
      </c>
      <c r="T19" s="749"/>
      <c r="U19" s="9">
        <f t="shared" si="14"/>
        <v>359</v>
      </c>
      <c r="V19" s="9">
        <f t="shared" si="15"/>
        <v>359</v>
      </c>
    </row>
    <row r="20" spans="1:22" ht="18.75" customHeight="1">
      <c r="A20" s="8">
        <v>8</v>
      </c>
      <c r="B20" s="19" t="s">
        <v>483</v>
      </c>
      <c r="C20" s="9">
        <v>538</v>
      </c>
      <c r="D20" s="382">
        <v>584</v>
      </c>
      <c r="E20" s="343">
        <v>52.76</v>
      </c>
      <c r="F20" s="343">
        <f t="shared" si="0"/>
        <v>35.17333333333333</v>
      </c>
      <c r="G20" s="343">
        <f t="shared" si="1"/>
        <v>87.93333333333334</v>
      </c>
      <c r="H20" s="343">
        <f t="shared" si="2"/>
        <v>0.057180363439110385</v>
      </c>
      <c r="I20" s="343">
        <f t="shared" si="3"/>
        <v>0.0058256632376827286</v>
      </c>
      <c r="J20" s="343">
        <f t="shared" si="4"/>
        <v>0.06300602667679311</v>
      </c>
      <c r="K20" s="343">
        <f t="shared" si="5"/>
        <v>52.71715213860314</v>
      </c>
      <c r="L20" s="343">
        <v>35.08</v>
      </c>
      <c r="M20" s="343">
        <f t="shared" si="7"/>
        <v>87.79715213860314</v>
      </c>
      <c r="N20" s="343">
        <f t="shared" si="8"/>
        <v>52.56</v>
      </c>
      <c r="O20" s="343">
        <f t="shared" si="9"/>
        <v>35.04</v>
      </c>
      <c r="P20" s="343">
        <f t="shared" si="10"/>
        <v>87.6</v>
      </c>
      <c r="Q20" s="343">
        <f t="shared" si="11"/>
        <v>0.21433250204224663</v>
      </c>
      <c r="R20" s="343">
        <f t="shared" si="12"/>
        <v>0.04582566323767878</v>
      </c>
      <c r="S20" s="343">
        <f t="shared" si="13"/>
        <v>0.2601581652799325</v>
      </c>
      <c r="T20" s="750"/>
      <c r="U20" s="9">
        <f t="shared" si="14"/>
        <v>584</v>
      </c>
      <c r="V20" s="9">
        <f t="shared" si="15"/>
        <v>584</v>
      </c>
    </row>
    <row r="21" spans="1:22" ht="18.75" customHeight="1">
      <c r="A21" s="3"/>
      <c r="B21" s="27" t="s">
        <v>484</v>
      </c>
      <c r="C21" s="186">
        <f>SUM(C13:C20)</f>
        <v>3741</v>
      </c>
      <c r="D21" s="186">
        <f aca="true" t="shared" si="16" ref="D21:V21">SUM(D13:D20)</f>
        <v>3687</v>
      </c>
      <c r="E21" s="616">
        <f t="shared" si="16"/>
        <v>332.46</v>
      </c>
      <c r="F21" s="343">
        <f t="shared" si="16"/>
        <v>221.64</v>
      </c>
      <c r="G21" s="343">
        <f t="shared" si="16"/>
        <v>554.1</v>
      </c>
      <c r="H21" s="616">
        <f t="shared" si="16"/>
        <v>0.361</v>
      </c>
      <c r="I21" s="343">
        <f t="shared" si="16"/>
        <v>0.040508933405522474</v>
      </c>
      <c r="J21" s="343">
        <f t="shared" si="16"/>
        <v>0.40150893340552246</v>
      </c>
      <c r="K21" s="616">
        <f t="shared" si="16"/>
        <v>332.19</v>
      </c>
      <c r="L21" s="343">
        <f t="shared" si="16"/>
        <v>221.41413078265055</v>
      </c>
      <c r="M21" s="343">
        <f t="shared" si="16"/>
        <v>553.6041307826505</v>
      </c>
      <c r="N21" s="343">
        <f t="shared" si="16"/>
        <v>331.83</v>
      </c>
      <c r="O21" s="343">
        <f t="shared" si="16"/>
        <v>221.21999999999997</v>
      </c>
      <c r="P21" s="343">
        <f t="shared" si="16"/>
        <v>553.05</v>
      </c>
      <c r="Q21" s="343">
        <f t="shared" si="16"/>
        <v>0.7210000000000107</v>
      </c>
      <c r="R21" s="343">
        <f t="shared" si="16"/>
        <v>0.2346397160560585</v>
      </c>
      <c r="S21" s="343">
        <f t="shared" si="16"/>
        <v>0.9556397160560621</v>
      </c>
      <c r="T21" s="9"/>
      <c r="U21" s="9">
        <f t="shared" si="16"/>
        <v>3687</v>
      </c>
      <c r="V21" s="9">
        <f t="shared" si="16"/>
        <v>3687</v>
      </c>
    </row>
    <row r="22" spans="4:8" ht="12.75">
      <c r="D22" t="s">
        <v>10</v>
      </c>
      <c r="H22" s="344"/>
    </row>
    <row r="23" spans="3:19" ht="12.75">
      <c r="C23" s="347"/>
      <c r="D23" s="505"/>
      <c r="E23" s="16" t="s">
        <v>10</v>
      </c>
      <c r="I23" s="344"/>
      <c r="M23" s="16"/>
      <c r="N23" s="16"/>
      <c r="Q23" s="344" t="s">
        <v>10</v>
      </c>
      <c r="R23" s="344"/>
      <c r="S23" s="344"/>
    </row>
    <row r="24" spans="1:17" ht="12.75">
      <c r="A24" s="16"/>
      <c r="B24" s="16"/>
      <c r="C24" s="21"/>
      <c r="D24" s="464"/>
      <c r="E24" s="464"/>
      <c r="F24" s="464"/>
      <c r="G24" s="464"/>
      <c r="H24" s="464"/>
      <c r="I24" s="464"/>
      <c r="J24" s="464"/>
      <c r="K24" s="464"/>
      <c r="L24" s="464"/>
      <c r="M24" s="28"/>
      <c r="N24" s="28"/>
      <c r="O24" s="28"/>
      <c r="P24" s="13"/>
      <c r="Q24" s="435"/>
    </row>
    <row r="25" spans="3:17" ht="12.75">
      <c r="C25" s="21"/>
      <c r="D25" s="464"/>
      <c r="E25" s="464"/>
      <c r="F25" s="464"/>
      <c r="G25" s="464"/>
      <c r="H25" s="464"/>
      <c r="I25" s="464"/>
      <c r="J25" s="464"/>
      <c r="K25" s="464"/>
      <c r="L25" s="464"/>
      <c r="M25" s="28"/>
      <c r="N25" s="28"/>
      <c r="O25" s="28"/>
      <c r="P25" s="13"/>
      <c r="Q25" s="435"/>
    </row>
    <row r="26" spans="1:22" ht="12.75" customHeight="1">
      <c r="A26" s="15" t="s">
        <v>11</v>
      </c>
      <c r="B26" s="15"/>
      <c r="C26" s="21"/>
      <c r="D26" s="464"/>
      <c r="E26" s="464"/>
      <c r="F26" s="464"/>
      <c r="G26" s="464"/>
      <c r="H26" s="464"/>
      <c r="I26" s="464"/>
      <c r="J26" s="464"/>
      <c r="K26" s="464"/>
      <c r="L26" s="464"/>
      <c r="M26" s="28"/>
      <c r="N26" s="28"/>
      <c r="O26" s="28"/>
      <c r="P26" s="13"/>
      <c r="Q26" s="435"/>
      <c r="S26" s="667"/>
      <c r="T26" s="667"/>
      <c r="U26" s="667"/>
      <c r="V26" s="667"/>
    </row>
    <row r="27" spans="2:22" ht="12.75" customHeight="1">
      <c r="B27" s="86"/>
      <c r="C27" s="21"/>
      <c r="D27" s="464"/>
      <c r="E27" s="464"/>
      <c r="F27" s="464"/>
      <c r="G27" s="464"/>
      <c r="H27" s="464"/>
      <c r="I27" s="464"/>
      <c r="J27" s="464"/>
      <c r="K27" s="464"/>
      <c r="L27" s="464"/>
      <c r="M27" s="419"/>
      <c r="N27" s="419"/>
      <c r="O27" s="28"/>
      <c r="P27" s="419"/>
      <c r="Q27" s="435"/>
      <c r="S27" s="667" t="s">
        <v>819</v>
      </c>
      <c r="T27" s="667"/>
      <c r="U27" s="667"/>
      <c r="V27" s="667"/>
    </row>
    <row r="28" spans="2:22" ht="12.75" customHeight="1">
      <c r="B28" s="86"/>
      <c r="C28" s="21"/>
      <c r="D28" s="464"/>
      <c r="E28" s="464"/>
      <c r="F28" s="464"/>
      <c r="G28" s="464"/>
      <c r="H28" s="464"/>
      <c r="I28" s="464"/>
      <c r="J28" s="464"/>
      <c r="K28" s="464"/>
      <c r="L28" s="464"/>
      <c r="M28" s="419"/>
      <c r="N28" s="419"/>
      <c r="O28" s="28"/>
      <c r="P28" s="419"/>
      <c r="Q28" s="435"/>
      <c r="S28" s="667" t="s">
        <v>488</v>
      </c>
      <c r="T28" s="667"/>
      <c r="U28" s="667"/>
      <c r="V28" s="667"/>
    </row>
    <row r="29" spans="3:21" ht="12.75">
      <c r="C29" s="21"/>
      <c r="D29" s="464"/>
      <c r="E29" s="464"/>
      <c r="F29" s="464"/>
      <c r="G29" s="464"/>
      <c r="H29" s="464"/>
      <c r="I29" s="464"/>
      <c r="J29" s="464"/>
      <c r="K29" s="464"/>
      <c r="L29" s="464"/>
      <c r="M29" s="28"/>
      <c r="N29" s="28"/>
      <c r="O29" s="28"/>
      <c r="P29" s="13"/>
      <c r="Q29" s="435"/>
      <c r="S29" s="699" t="s">
        <v>546</v>
      </c>
      <c r="T29" s="699"/>
      <c r="U29" s="699"/>
    </row>
    <row r="30" spans="3:17" ht="12.75">
      <c r="C30" s="21"/>
      <c r="D30" s="464"/>
      <c r="E30" s="464"/>
      <c r="F30" s="464"/>
      <c r="G30" s="464"/>
      <c r="H30" s="464"/>
      <c r="I30" s="464"/>
      <c r="J30" s="464"/>
      <c r="K30" s="464"/>
      <c r="L30" s="464"/>
      <c r="M30" s="28"/>
      <c r="N30" s="28"/>
      <c r="O30" s="28"/>
      <c r="P30" s="13"/>
      <c r="Q30" s="435"/>
    </row>
    <row r="31" spans="3:17" ht="12.75">
      <c r="C31" s="21"/>
      <c r="D31" s="464"/>
      <c r="E31" s="464"/>
      <c r="F31" s="464"/>
      <c r="G31" s="464"/>
      <c r="H31" s="464"/>
      <c r="I31" s="464"/>
      <c r="J31" s="464"/>
      <c r="K31" s="464"/>
      <c r="L31" s="464"/>
      <c r="M31" s="28"/>
      <c r="N31" s="28"/>
      <c r="O31" s="28"/>
      <c r="P31" s="13"/>
      <c r="Q31" s="435"/>
    </row>
    <row r="32" spans="3:17" ht="12.75">
      <c r="C32" s="13"/>
      <c r="D32" s="464"/>
      <c r="E32" s="464"/>
      <c r="F32" s="464"/>
      <c r="G32" s="13"/>
      <c r="H32" s="464"/>
      <c r="I32" s="464"/>
      <c r="J32" s="464"/>
      <c r="K32" s="464"/>
      <c r="L32" s="464"/>
      <c r="M32" s="28"/>
      <c r="N32" s="28"/>
      <c r="O32" s="28"/>
      <c r="P32" s="13"/>
      <c r="Q32" s="435"/>
    </row>
    <row r="33" spans="4:16" ht="12.75">
      <c r="D33" s="347"/>
      <c r="E33" s="13"/>
      <c r="F33" s="435"/>
      <c r="G33" s="435"/>
      <c r="I33" s="13"/>
      <c r="J33" s="13"/>
      <c r="K33" s="344"/>
      <c r="M33" s="344"/>
      <c r="N33" s="344"/>
      <c r="P33" s="16" t="s">
        <v>10</v>
      </c>
    </row>
    <row r="34" spans="4:14" ht="12.75">
      <c r="D34" s="347"/>
      <c r="E34" s="464"/>
      <c r="F34" s="13"/>
      <c r="G34" s="13"/>
      <c r="I34" s="13"/>
      <c r="J34" s="13"/>
      <c r="N34" s="344"/>
    </row>
    <row r="35" spans="4:14" ht="12.75">
      <c r="D35" s="464"/>
      <c r="E35" s="464"/>
      <c r="F35" s="13"/>
      <c r="G35" s="13"/>
      <c r="I35" s="13"/>
      <c r="J35" s="13"/>
      <c r="N35" s="344"/>
    </row>
    <row r="36" spans="4:14" ht="12.75">
      <c r="D36" s="464"/>
      <c r="E36" s="464"/>
      <c r="F36" s="13"/>
      <c r="G36" s="13"/>
      <c r="H36" s="13"/>
      <c r="I36" s="13"/>
      <c r="J36" s="13"/>
      <c r="N36" s="344"/>
    </row>
    <row r="37" spans="4:14" ht="12.75">
      <c r="D37" s="464"/>
      <c r="E37" s="464"/>
      <c r="F37" s="13"/>
      <c r="G37" s="13"/>
      <c r="H37" s="13"/>
      <c r="I37" s="13"/>
      <c r="J37" s="13"/>
      <c r="N37" s="344"/>
    </row>
    <row r="38" spans="4:14" ht="12.75">
      <c r="D38" s="464"/>
      <c r="E38" s="464"/>
      <c r="F38" s="13"/>
      <c r="G38" s="13"/>
      <c r="H38" s="13"/>
      <c r="I38" s="13"/>
      <c r="J38" s="13"/>
      <c r="N38" s="344"/>
    </row>
    <row r="39" spans="4:14" ht="12.75">
      <c r="D39" s="464"/>
      <c r="E39" s="464"/>
      <c r="F39" s="13"/>
      <c r="G39" s="13"/>
      <c r="H39" s="13"/>
      <c r="I39" s="13"/>
      <c r="J39" s="13"/>
      <c r="N39" s="344"/>
    </row>
    <row r="40" spans="4:14" ht="12.75">
      <c r="D40" s="464"/>
      <c r="E40" s="464"/>
      <c r="F40" s="13"/>
      <c r="G40" s="13"/>
      <c r="H40" s="13"/>
      <c r="I40" s="13"/>
      <c r="J40" s="13"/>
      <c r="N40" s="344"/>
    </row>
    <row r="41" spans="4:14" ht="12.75">
      <c r="D41" s="464"/>
      <c r="E41" s="464"/>
      <c r="F41" s="13"/>
      <c r="G41" s="13"/>
      <c r="H41" s="13"/>
      <c r="I41" s="13"/>
      <c r="J41" s="13"/>
      <c r="N41" s="344"/>
    </row>
    <row r="42" spans="4:10" ht="12.75">
      <c r="D42" s="464"/>
      <c r="E42" s="464"/>
      <c r="F42" s="13"/>
      <c r="G42" s="13"/>
      <c r="H42" s="13"/>
      <c r="I42" s="13"/>
      <c r="J42" s="13"/>
    </row>
    <row r="43" spans="4:11" ht="12.75">
      <c r="D43" s="13"/>
      <c r="E43" s="13"/>
      <c r="F43" s="13"/>
      <c r="G43" s="13"/>
      <c r="H43" s="13"/>
      <c r="I43" s="13"/>
      <c r="J43" s="13"/>
      <c r="K43" s="16"/>
    </row>
  </sheetData>
  <sheetProtection/>
  <mergeCells count="23">
    <mergeCell ref="T1:V1"/>
    <mergeCell ref="A7:Q7"/>
    <mergeCell ref="T9:W9"/>
    <mergeCell ref="A10:A11"/>
    <mergeCell ref="B10:B11"/>
    <mergeCell ref="C10:C11"/>
    <mergeCell ref="U10:U11"/>
    <mergeCell ref="A2:V2"/>
    <mergeCell ref="A3:V3"/>
    <mergeCell ref="A5:V5"/>
    <mergeCell ref="H10:J10"/>
    <mergeCell ref="K10:M10"/>
    <mergeCell ref="D10:D11"/>
    <mergeCell ref="E10:G10"/>
    <mergeCell ref="S29:U29"/>
    <mergeCell ref="T10:T11"/>
    <mergeCell ref="V10:V11"/>
    <mergeCell ref="N10:P10"/>
    <mergeCell ref="Q10:S10"/>
    <mergeCell ref="T13:T20"/>
    <mergeCell ref="S28:V28"/>
    <mergeCell ref="S26:V26"/>
    <mergeCell ref="S27:V27"/>
  </mergeCells>
  <printOptions horizontalCentered="1"/>
  <pageMargins left="0.43" right="0.21" top="1.97" bottom="0" header="1.27" footer="0.31496062992125984"/>
  <pageSetup fitToHeight="1" fitToWidth="1" horizontalDpi="600" verticalDpi="600" orientation="landscape" paperSize="9" scale="67" r:id="rId1"/>
</worksheet>
</file>

<file path=xl/worksheets/sheet27.xml><?xml version="1.0" encoding="utf-8"?>
<worksheet xmlns="http://schemas.openxmlformats.org/spreadsheetml/2006/main" xmlns:r="http://schemas.openxmlformats.org/officeDocument/2006/relationships">
  <sheetPr>
    <pageSetUpPr fitToPage="1"/>
  </sheetPr>
  <dimension ref="A1:V31"/>
  <sheetViews>
    <sheetView view="pageBreakPreview" zoomScaleSheetLayoutView="100" zoomScalePageLayoutView="0" workbookViewId="0" topLeftCell="A1">
      <selection activeCell="C10" sqref="C10"/>
    </sheetView>
  </sheetViews>
  <sheetFormatPr defaultColWidth="9.140625" defaultRowHeight="12.75"/>
  <cols>
    <col min="1" max="1" width="5.421875" style="16" customWidth="1"/>
    <col min="2" max="2" width="13.57421875" style="16" customWidth="1"/>
    <col min="3" max="3" width="17.57421875" style="16" customWidth="1"/>
    <col min="4" max="4" width="17.8515625" style="16" customWidth="1"/>
    <col min="5" max="5" width="18.8515625" style="16" customWidth="1"/>
    <col min="6" max="6" width="19.28125" style="16" customWidth="1"/>
    <col min="7" max="7" width="22.57421875" style="16" customWidth="1"/>
    <col min="8" max="8" width="17.140625" style="16" customWidth="1"/>
    <col min="9" max="9" width="24.8515625" style="16" customWidth="1"/>
    <col min="10" max="16384" width="9.140625" style="16" customWidth="1"/>
  </cols>
  <sheetData>
    <row r="1" spans="9:10" ht="15">
      <c r="I1" s="42" t="s">
        <v>62</v>
      </c>
      <c r="J1" s="44"/>
    </row>
    <row r="2" spans="1:10" ht="15">
      <c r="A2" s="751" t="s">
        <v>0</v>
      </c>
      <c r="B2" s="751"/>
      <c r="C2" s="751"/>
      <c r="D2" s="751"/>
      <c r="E2" s="751"/>
      <c r="F2" s="751"/>
      <c r="G2" s="751"/>
      <c r="H2" s="751"/>
      <c r="I2" s="751"/>
      <c r="J2" s="46"/>
    </row>
    <row r="3" spans="1:10" ht="20.25">
      <c r="A3" s="645" t="s">
        <v>854</v>
      </c>
      <c r="B3" s="645"/>
      <c r="C3" s="645"/>
      <c r="D3" s="645"/>
      <c r="E3" s="645"/>
      <c r="F3" s="645"/>
      <c r="G3" s="645"/>
      <c r="H3" s="645"/>
      <c r="I3" s="645"/>
      <c r="J3" s="45"/>
    </row>
    <row r="4" ht="10.5" customHeight="1"/>
    <row r="5" spans="1:9" ht="12.75" customHeight="1">
      <c r="A5" s="818" t="s">
        <v>917</v>
      </c>
      <c r="B5" s="818"/>
      <c r="C5" s="818"/>
      <c r="D5" s="818"/>
      <c r="E5" s="818"/>
      <c r="F5" s="818"/>
      <c r="G5" s="818"/>
      <c r="H5" s="818"/>
      <c r="I5" s="818"/>
    </row>
    <row r="7" ht="0.75" customHeight="1"/>
    <row r="8" spans="1:9" ht="12.75">
      <c r="A8" s="15" t="s">
        <v>500</v>
      </c>
      <c r="I8" s="30" t="s">
        <v>20</v>
      </c>
    </row>
    <row r="9" spans="4:22" ht="12.75">
      <c r="D9" s="742" t="s">
        <v>933</v>
      </c>
      <c r="E9" s="742"/>
      <c r="F9" s="742"/>
      <c r="G9" s="742"/>
      <c r="H9" s="742"/>
      <c r="I9" s="742"/>
      <c r="U9" s="19"/>
      <c r="V9" s="21"/>
    </row>
    <row r="10" spans="1:9" s="273" customFormat="1" ht="52.5" customHeight="1">
      <c r="A10" s="257" t="s">
        <v>499</v>
      </c>
      <c r="B10" s="257" t="s">
        <v>3</v>
      </c>
      <c r="C10" s="261" t="s">
        <v>916</v>
      </c>
      <c r="D10" s="261" t="s">
        <v>939</v>
      </c>
      <c r="E10" s="261" t="s">
        <v>109</v>
      </c>
      <c r="F10" s="257" t="s">
        <v>224</v>
      </c>
      <c r="G10" s="261" t="s">
        <v>1033</v>
      </c>
      <c r="H10" s="261" t="s">
        <v>157</v>
      </c>
      <c r="I10" s="284" t="s">
        <v>947</v>
      </c>
    </row>
    <row r="11" spans="1:9" s="542" customFormat="1" ht="15.75" customHeight="1">
      <c r="A11" s="540">
        <v>1</v>
      </c>
      <c r="B11" s="541">
        <v>2</v>
      </c>
      <c r="C11" s="540">
        <v>3</v>
      </c>
      <c r="D11" s="541">
        <v>4</v>
      </c>
      <c r="E11" s="540">
        <v>5</v>
      </c>
      <c r="F11" s="540">
        <v>6</v>
      </c>
      <c r="G11" s="541">
        <v>7</v>
      </c>
      <c r="H11" s="540">
        <v>8</v>
      </c>
      <c r="I11" s="541">
        <v>9</v>
      </c>
    </row>
    <row r="12" spans="1:11" ht="15" customHeight="1">
      <c r="A12" s="8">
        <v>1</v>
      </c>
      <c r="B12" s="19" t="s">
        <v>476</v>
      </c>
      <c r="C12" s="323">
        <f>189.12*'T6B_Pay_FG_FCI_Pry'!C14/300.2</f>
        <v>35.68836775483011</v>
      </c>
      <c r="D12" s="323">
        <v>0</v>
      </c>
      <c r="E12" s="569">
        <f>182.388*C12/189.12</f>
        <v>34.417988674217185</v>
      </c>
      <c r="F12" s="527">
        <v>0</v>
      </c>
      <c r="G12" s="402">
        <v>1890</v>
      </c>
      <c r="H12" s="323">
        <f>'T6B_Pay_FG_FCI_Pry'!F14*'AT9_TA'!G12/100000</f>
        <v>32.481730014115676</v>
      </c>
      <c r="I12" s="323">
        <f>D12+E12+F12-H12</f>
        <v>1.9362586601015082</v>
      </c>
      <c r="K12" s="338"/>
    </row>
    <row r="13" spans="1:11" ht="12.75">
      <c r="A13" s="8">
        <v>2</v>
      </c>
      <c r="B13" s="19" t="s">
        <v>477</v>
      </c>
      <c r="C13" s="323">
        <f>189.12*'T6B_Pay_FG_FCI_Pry'!C15/300.2</f>
        <v>25.854379746835445</v>
      </c>
      <c r="D13" s="323">
        <v>0</v>
      </c>
      <c r="E13" s="569">
        <f aca="true" t="shared" si="0" ref="E13:E18">182.388*C13/189.12</f>
        <v>24.93405569620253</v>
      </c>
      <c r="F13" s="527">
        <v>0</v>
      </c>
      <c r="G13" s="402">
        <v>1890</v>
      </c>
      <c r="H13" s="323">
        <f>'T6B_Pay_FG_FCI_Pry'!F15*'AT9_TA'!G13/100000</f>
        <v>23.46577771086901</v>
      </c>
      <c r="I13" s="323">
        <f aca="true" t="shared" si="1" ref="I13:I19">D13+E13+F13-H13</f>
        <v>1.468277985333522</v>
      </c>
      <c r="K13" s="338"/>
    </row>
    <row r="14" spans="1:11" ht="12" customHeight="1">
      <c r="A14" s="8">
        <v>3</v>
      </c>
      <c r="B14" s="19" t="s">
        <v>478</v>
      </c>
      <c r="C14" s="323">
        <f>189.12*'T6B_Pay_FG_FCI_Pry'!C16/300.2</f>
        <v>15.4723091272485</v>
      </c>
      <c r="D14" s="323">
        <v>0</v>
      </c>
      <c r="E14" s="569">
        <f t="shared" si="0"/>
        <v>14.921549900066623</v>
      </c>
      <c r="F14" s="527">
        <v>0</v>
      </c>
      <c r="G14" s="402">
        <v>1890</v>
      </c>
      <c r="H14" s="323">
        <f>'T6B_Pay_FG_FCI_Pry'!F16*'AT9_TA'!G14/100000</f>
        <v>14.097144593837832</v>
      </c>
      <c r="I14" s="323">
        <f t="shared" si="1"/>
        <v>0.8244053062287904</v>
      </c>
      <c r="K14" s="338"/>
    </row>
    <row r="15" spans="1:11" ht="12.75">
      <c r="A15" s="8">
        <v>4</v>
      </c>
      <c r="B15" s="19" t="s">
        <v>479</v>
      </c>
      <c r="C15" s="323">
        <f>189.12*'T6B_Pay_FG_FCI_Pry'!C17/300.2</f>
        <v>22.030401065956028</v>
      </c>
      <c r="D15" s="323">
        <v>0</v>
      </c>
      <c r="E15" s="569">
        <f t="shared" si="0"/>
        <v>21.246197068620916</v>
      </c>
      <c r="F15" s="527">
        <v>0</v>
      </c>
      <c r="G15" s="402">
        <v>1890</v>
      </c>
      <c r="H15" s="323">
        <f>'T6B_Pay_FG_FCI_Pry'!F17*'AT9_TA'!G15/100000</f>
        <v>20.0342933303079</v>
      </c>
      <c r="I15" s="323">
        <f t="shared" si="1"/>
        <v>1.2119037383130156</v>
      </c>
      <c r="K15" s="338"/>
    </row>
    <row r="16" spans="1:11" ht="12.75">
      <c r="A16" s="8">
        <v>5</v>
      </c>
      <c r="B16" s="19" t="s">
        <v>480</v>
      </c>
      <c r="C16" s="323">
        <f>189.12*'T6B_Pay_FG_FCI_Pry'!C18/300.2</f>
        <v>23.164365089940045</v>
      </c>
      <c r="D16" s="323">
        <v>0</v>
      </c>
      <c r="E16" s="569">
        <f t="shared" si="0"/>
        <v>22.339796002664894</v>
      </c>
      <c r="F16" s="527">
        <v>0</v>
      </c>
      <c r="G16" s="402">
        <v>1890</v>
      </c>
      <c r="H16" s="323">
        <f>'T6B_Pay_FG_FCI_Pry'!F18*'AT9_TA'!G16/100000</f>
        <v>21.170280929719183</v>
      </c>
      <c r="I16" s="323">
        <f t="shared" si="1"/>
        <v>1.1695150729457104</v>
      </c>
      <c r="K16" s="338"/>
    </row>
    <row r="17" spans="1:11" ht="12.75" customHeight="1">
      <c r="A17" s="8">
        <v>6</v>
      </c>
      <c r="B17" s="19" t="s">
        <v>481</v>
      </c>
      <c r="C17" s="323">
        <f>189.12*'T6B_Pay_FG_FCI_Pry'!C19/300.2</f>
        <v>17.166955363091276</v>
      </c>
      <c r="D17" s="323">
        <v>0</v>
      </c>
      <c r="E17" s="569">
        <f t="shared" si="0"/>
        <v>16.555872751499006</v>
      </c>
      <c r="F17" s="527">
        <v>0</v>
      </c>
      <c r="G17" s="402">
        <v>1890</v>
      </c>
      <c r="H17" s="323">
        <f>'T6B_Pay_FG_FCI_Pry'!F19*'AT9_TA'!G17/100000</f>
        <v>15.523734894681018</v>
      </c>
      <c r="I17" s="323">
        <f t="shared" si="1"/>
        <v>1.0321378568179878</v>
      </c>
      <c r="K17" s="338"/>
    </row>
    <row r="18" spans="1:11" ht="12.75" customHeight="1">
      <c r="A18" s="8">
        <v>7</v>
      </c>
      <c r="B18" s="19" t="s">
        <v>482</v>
      </c>
      <c r="C18" s="323">
        <f>189.12*'T6B_Pay_FG_FCI_Pry'!C20/300.2</f>
        <v>25.514190539640243</v>
      </c>
      <c r="D18" s="323">
        <v>0</v>
      </c>
      <c r="E18" s="569">
        <f t="shared" si="0"/>
        <v>24.60597601598934</v>
      </c>
      <c r="F18" s="527">
        <v>0</v>
      </c>
      <c r="G18" s="402">
        <v>1890</v>
      </c>
      <c r="H18" s="323">
        <f>'T6B_Pay_FG_FCI_Pry'!F20*'AT9_TA'!G18/100000</f>
        <v>22.85828869767795</v>
      </c>
      <c r="I18" s="323">
        <f t="shared" si="1"/>
        <v>1.7476873183113923</v>
      </c>
      <c r="K18" s="338"/>
    </row>
    <row r="19" spans="1:11" ht="12.75">
      <c r="A19" s="8">
        <v>8</v>
      </c>
      <c r="B19" s="19" t="s">
        <v>483</v>
      </c>
      <c r="C19" s="323">
        <f>189.12*'T6B_Pay_FG_FCI_Pry'!C21/300.2</f>
        <v>24.229031312458364</v>
      </c>
      <c r="D19" s="323">
        <v>0</v>
      </c>
      <c r="E19" s="569">
        <f>182.388*C19/189.12</f>
        <v>23.36656389073951</v>
      </c>
      <c r="F19" s="527">
        <v>0</v>
      </c>
      <c r="G19" s="402">
        <v>1890</v>
      </c>
      <c r="H19" s="323">
        <f>'T6B_Pay_FG_FCI_Pry'!F21*'AT9_TA'!G19/100000</f>
        <v>21.799498828791446</v>
      </c>
      <c r="I19" s="323">
        <f t="shared" si="1"/>
        <v>1.567065061948064</v>
      </c>
      <c r="K19" s="338"/>
    </row>
    <row r="20" spans="1:11" ht="12.75">
      <c r="A20" s="3"/>
      <c r="B20" s="27" t="s">
        <v>484</v>
      </c>
      <c r="C20" s="569">
        <f>SUM(C12:C19)</f>
        <v>189.12000000000003</v>
      </c>
      <c r="D20" s="323">
        <f>SUM(D12:D19)</f>
        <v>0</v>
      </c>
      <c r="E20" s="569">
        <f>SUM(E12:E19)</f>
        <v>182.388</v>
      </c>
      <c r="F20" s="323">
        <f>SUM(F12:F19)</f>
        <v>0</v>
      </c>
      <c r="G20" s="19"/>
      <c r="H20" s="323">
        <f>SUM(H12:H19)</f>
        <v>171.43074900000005</v>
      </c>
      <c r="I20" s="323">
        <f>SUM(I12:I19)</f>
        <v>10.95725099999999</v>
      </c>
      <c r="K20" s="338"/>
    </row>
    <row r="21" spans="5:9" ht="12.75">
      <c r="E21" s="28"/>
      <c r="F21" s="28"/>
      <c r="G21" s="28"/>
      <c r="H21" s="21"/>
      <c r="I21" s="21"/>
    </row>
    <row r="22" spans="5:9" ht="12.75">
      <c r="E22" s="28"/>
      <c r="F22" s="28"/>
      <c r="G22" s="28"/>
      <c r="H22" s="21"/>
      <c r="I22" s="21" t="s">
        <v>10</v>
      </c>
    </row>
    <row r="23" spans="5:9" ht="12.75">
      <c r="E23" s="490"/>
      <c r="F23" s="490"/>
      <c r="G23" s="490" t="s">
        <v>10</v>
      </c>
      <c r="H23" s="28" t="s">
        <v>10</v>
      </c>
      <c r="I23" s="21"/>
    </row>
    <row r="24" spans="1:10" ht="12.75">
      <c r="A24" s="31" t="s">
        <v>11</v>
      </c>
      <c r="E24" s="490"/>
      <c r="F24" s="490"/>
      <c r="G24" s="345" t="s">
        <v>10</v>
      </c>
      <c r="H24" s="756" t="s">
        <v>818</v>
      </c>
      <c r="I24" s="756"/>
      <c r="J24" s="33"/>
    </row>
    <row r="25" spans="5:9" ht="12.75">
      <c r="E25" s="490"/>
      <c r="F25" s="490"/>
      <c r="G25" s="491" t="s">
        <v>10</v>
      </c>
      <c r="H25" s="756" t="s">
        <v>819</v>
      </c>
      <c r="I25" s="756"/>
    </row>
    <row r="26" spans="5:9" ht="12.75">
      <c r="E26" s="490"/>
      <c r="F26" s="490"/>
      <c r="G26" s="491" t="s">
        <v>10</v>
      </c>
      <c r="H26" s="756" t="s">
        <v>663</v>
      </c>
      <c r="I26" s="756"/>
    </row>
    <row r="27" spans="5:12" ht="12.75">
      <c r="E27" s="490"/>
      <c r="F27" s="490"/>
      <c r="G27" s="345"/>
      <c r="H27" s="445" t="s">
        <v>80</v>
      </c>
      <c r="I27" s="445"/>
      <c r="J27" s="445"/>
      <c r="K27" s="445"/>
      <c r="L27" s="445"/>
    </row>
    <row r="28" spans="5:7" ht="12.75">
      <c r="E28" s="490"/>
      <c r="F28" s="490"/>
      <c r="G28" s="345"/>
    </row>
    <row r="29" spans="5:7" ht="12.75">
      <c r="E29" s="490"/>
      <c r="F29" s="490"/>
      <c r="G29" s="345"/>
    </row>
    <row r="30" spans="5:7" ht="12.75">
      <c r="E30" s="490"/>
      <c r="F30" s="490"/>
      <c r="G30" s="345"/>
    </row>
    <row r="31" spans="5:7" ht="12.75">
      <c r="E31" s="490"/>
      <c r="F31" s="490"/>
      <c r="G31" s="345"/>
    </row>
  </sheetData>
  <sheetProtection/>
  <mergeCells count="7">
    <mergeCell ref="H26:I26"/>
    <mergeCell ref="A2:I2"/>
    <mergeCell ref="A3:I3"/>
    <mergeCell ref="D9:I9"/>
    <mergeCell ref="A5:I5"/>
    <mergeCell ref="H24:I24"/>
    <mergeCell ref="H25:I25"/>
  </mergeCells>
  <printOptions horizontalCentered="1"/>
  <pageMargins left="0.48" right="0.28" top="1.41" bottom="0" header="0.87" footer="0.31496062992125984"/>
  <pageSetup fitToHeight="1" fitToWidth="1" horizontalDpi="600" verticalDpi="600" orientation="landscape" paperSize="9" scale="90" r:id="rId1"/>
  <colBreaks count="1" manualBreakCount="1">
    <brk id="9" max="32" man="1"/>
  </colBreaks>
</worksheet>
</file>

<file path=xl/worksheets/sheet28.xml><?xml version="1.0" encoding="utf-8"?>
<worksheet xmlns="http://schemas.openxmlformats.org/spreadsheetml/2006/main" xmlns:r="http://schemas.openxmlformats.org/officeDocument/2006/relationships">
  <sheetPr>
    <pageSetUpPr fitToPage="1"/>
  </sheetPr>
  <dimension ref="A1:T32"/>
  <sheetViews>
    <sheetView view="pageBreakPreview" zoomScale="90" zoomScaleSheetLayoutView="90" zoomScalePageLayoutView="0" workbookViewId="0" topLeftCell="A1">
      <selection activeCell="J18" sqref="J18"/>
    </sheetView>
  </sheetViews>
  <sheetFormatPr defaultColWidth="9.140625" defaultRowHeight="12.75"/>
  <cols>
    <col min="1" max="1" width="4.421875" style="16" customWidth="1"/>
    <col min="2" max="2" width="44.421875" style="16" customWidth="1"/>
    <col min="3" max="3" width="12.28125" style="16" customWidth="1"/>
    <col min="4" max="5" width="15.140625" style="16" customWidth="1"/>
    <col min="6" max="6" width="15.8515625" style="16" customWidth="1"/>
    <col min="7" max="7" width="12.57421875" style="16" customWidth="1"/>
    <col min="8" max="8" width="20.421875" style="16" customWidth="1"/>
    <col min="9" max="16384" width="9.140625" style="16" customWidth="1"/>
  </cols>
  <sheetData>
    <row r="1" spans="4:14" ht="15">
      <c r="D1" s="31"/>
      <c r="E1" s="31"/>
      <c r="F1" s="31"/>
      <c r="H1" s="42" t="s">
        <v>63</v>
      </c>
      <c r="I1" s="31"/>
      <c r="M1" s="44"/>
      <c r="N1" s="44"/>
    </row>
    <row r="2" spans="1:14" ht="15">
      <c r="A2" s="751" t="s">
        <v>0</v>
      </c>
      <c r="B2" s="751"/>
      <c r="C2" s="751"/>
      <c r="D2" s="751"/>
      <c r="E2" s="751"/>
      <c r="F2" s="751"/>
      <c r="G2" s="751"/>
      <c r="H2" s="751"/>
      <c r="I2" s="46"/>
      <c r="J2" s="46"/>
      <c r="K2" s="46"/>
      <c r="L2" s="46"/>
      <c r="M2" s="46"/>
      <c r="N2" s="46"/>
    </row>
    <row r="3" spans="1:14" ht="20.25">
      <c r="A3" s="645" t="s">
        <v>854</v>
      </c>
      <c r="B3" s="645"/>
      <c r="C3" s="645"/>
      <c r="D3" s="645"/>
      <c r="E3" s="645"/>
      <c r="F3" s="645"/>
      <c r="G3" s="645"/>
      <c r="H3" s="645"/>
      <c r="I3" s="45"/>
      <c r="J3" s="45"/>
      <c r="K3" s="45"/>
      <c r="L3" s="45"/>
      <c r="M3" s="45"/>
      <c r="N3" s="45"/>
    </row>
    <row r="4" ht="10.5" customHeight="1"/>
    <row r="5" spans="1:8" ht="19.5" customHeight="1">
      <c r="A5" s="646" t="s">
        <v>918</v>
      </c>
      <c r="B5" s="751"/>
      <c r="C5" s="751"/>
      <c r="D5" s="751"/>
      <c r="E5" s="751"/>
      <c r="F5" s="751"/>
      <c r="G5" s="751"/>
      <c r="H5" s="751"/>
    </row>
    <row r="7" spans="1:10" s="14" customFormat="1" ht="15.75" customHeight="1" hidden="1">
      <c r="A7" s="16"/>
      <c r="B7" s="16"/>
      <c r="C7" s="16"/>
      <c r="D7" s="16"/>
      <c r="E7" s="16"/>
      <c r="F7" s="16"/>
      <c r="G7" s="16"/>
      <c r="H7" s="16"/>
      <c r="I7" s="16"/>
      <c r="J7" s="16"/>
    </row>
    <row r="8" spans="1:9" s="14" customFormat="1" ht="15.75">
      <c r="A8" s="699" t="s">
        <v>475</v>
      </c>
      <c r="B8" s="699"/>
      <c r="C8" s="16"/>
      <c r="D8" s="16"/>
      <c r="E8" s="16"/>
      <c r="F8" s="16"/>
      <c r="G8" s="16"/>
      <c r="H8" s="30" t="s">
        <v>24</v>
      </c>
      <c r="I8" s="16"/>
    </row>
    <row r="9" spans="1:20" s="14" customFormat="1" ht="15.75">
      <c r="A9" s="15"/>
      <c r="B9" s="16"/>
      <c r="C9" s="16"/>
      <c r="D9" s="103"/>
      <c r="E9" s="103"/>
      <c r="G9" s="103" t="s">
        <v>933</v>
      </c>
      <c r="H9" s="103"/>
      <c r="J9" s="103"/>
      <c r="K9" s="103"/>
      <c r="L9" s="103"/>
      <c r="S9" s="120"/>
      <c r="T9" s="119"/>
    </row>
    <row r="10" spans="1:8" s="286" customFormat="1" ht="55.5" customHeight="1">
      <c r="A10" s="285" t="s">
        <v>501</v>
      </c>
      <c r="B10" s="257" t="s">
        <v>25</v>
      </c>
      <c r="C10" s="257" t="s">
        <v>919</v>
      </c>
      <c r="D10" s="257" t="s">
        <v>939</v>
      </c>
      <c r="E10" s="257" t="s">
        <v>223</v>
      </c>
      <c r="F10" s="257" t="s">
        <v>224</v>
      </c>
      <c r="G10" s="257" t="s">
        <v>69</v>
      </c>
      <c r="H10" s="257" t="s">
        <v>948</v>
      </c>
    </row>
    <row r="11" spans="1:8" s="539" customFormat="1" ht="14.25" customHeight="1">
      <c r="A11" s="285">
        <v>1</v>
      </c>
      <c r="B11" s="257">
        <v>2</v>
      </c>
      <c r="C11" s="295">
        <v>3</v>
      </c>
      <c r="D11" s="295">
        <v>4</v>
      </c>
      <c r="E11" s="295">
        <v>5</v>
      </c>
      <c r="F11" s="295">
        <v>6</v>
      </c>
      <c r="G11" s="295">
        <v>7</v>
      </c>
      <c r="H11" s="295">
        <v>8</v>
      </c>
    </row>
    <row r="12" spans="1:8" ht="12.75" customHeight="1">
      <c r="A12" s="34" t="s">
        <v>26</v>
      </c>
      <c r="B12" s="27" t="s">
        <v>27</v>
      </c>
      <c r="C12" s="822">
        <v>48.375</v>
      </c>
      <c r="D12" s="822">
        <v>0</v>
      </c>
      <c r="E12" s="822">
        <v>48.375</v>
      </c>
      <c r="F12" s="822">
        <v>0</v>
      </c>
      <c r="G12" s="822">
        <v>48.375</v>
      </c>
      <c r="H12" s="822">
        <f>D16+E16-G16</f>
        <v>0</v>
      </c>
    </row>
    <row r="13" spans="1:8" ht="12.75">
      <c r="A13" s="35"/>
      <c r="B13" s="19" t="s">
        <v>28</v>
      </c>
      <c r="C13" s="823"/>
      <c r="D13" s="823"/>
      <c r="E13" s="823"/>
      <c r="F13" s="823"/>
      <c r="G13" s="823"/>
      <c r="H13" s="823"/>
    </row>
    <row r="14" spans="1:8" ht="12.75">
      <c r="A14" s="35"/>
      <c r="B14" s="19" t="s">
        <v>187</v>
      </c>
      <c r="C14" s="823"/>
      <c r="D14" s="823"/>
      <c r="E14" s="823"/>
      <c r="F14" s="823"/>
      <c r="G14" s="823"/>
      <c r="H14" s="823"/>
    </row>
    <row r="15" spans="1:8" s="33" customFormat="1" ht="25.5">
      <c r="A15" s="36"/>
      <c r="B15" s="37" t="s">
        <v>188</v>
      </c>
      <c r="C15" s="824"/>
      <c r="D15" s="824"/>
      <c r="E15" s="824"/>
      <c r="F15" s="824"/>
      <c r="G15" s="824"/>
      <c r="H15" s="824"/>
    </row>
    <row r="16" spans="1:8" s="33" customFormat="1" ht="12.75">
      <c r="A16" s="36"/>
      <c r="B16" s="38" t="s">
        <v>29</v>
      </c>
      <c r="C16" s="341">
        <f>SUM(C12)</f>
        <v>48.375</v>
      </c>
      <c r="D16" s="341">
        <f>SUM(D12)</f>
        <v>0</v>
      </c>
      <c r="E16" s="341">
        <f>SUM(E12)</f>
        <v>48.375</v>
      </c>
      <c r="F16" s="341">
        <f>SUM(F12)</f>
        <v>0</v>
      </c>
      <c r="G16" s="341">
        <f>G12</f>
        <v>48.375</v>
      </c>
      <c r="H16" s="341">
        <f>SUM(H12)</f>
        <v>0</v>
      </c>
    </row>
    <row r="17" spans="1:8" s="33" customFormat="1" ht="25.5">
      <c r="A17" s="32" t="s">
        <v>30</v>
      </c>
      <c r="B17" s="38" t="s">
        <v>222</v>
      </c>
      <c r="C17" s="819">
        <v>48.375</v>
      </c>
      <c r="D17" s="819">
        <v>0</v>
      </c>
      <c r="E17" s="819">
        <v>48.375</v>
      </c>
      <c r="F17" s="819">
        <v>0</v>
      </c>
      <c r="G17" s="819">
        <v>48.375</v>
      </c>
      <c r="H17" s="819">
        <f>D25+E25-G25</f>
        <v>0</v>
      </c>
    </row>
    <row r="18" spans="1:8" ht="12.75">
      <c r="A18" s="35"/>
      <c r="B18" s="142" t="s">
        <v>190</v>
      </c>
      <c r="C18" s="820"/>
      <c r="D18" s="820"/>
      <c r="E18" s="820"/>
      <c r="F18" s="820"/>
      <c r="G18" s="820"/>
      <c r="H18" s="820"/>
    </row>
    <row r="19" spans="1:8" ht="12.75">
      <c r="A19" s="35"/>
      <c r="B19" s="37" t="s">
        <v>31</v>
      </c>
      <c r="C19" s="820"/>
      <c r="D19" s="820"/>
      <c r="E19" s="820"/>
      <c r="F19" s="820"/>
      <c r="G19" s="820"/>
      <c r="H19" s="820"/>
    </row>
    <row r="20" spans="1:8" ht="12.75">
      <c r="A20" s="35"/>
      <c r="B20" s="37" t="s">
        <v>191</v>
      </c>
      <c r="C20" s="820"/>
      <c r="D20" s="820"/>
      <c r="E20" s="820"/>
      <c r="F20" s="820"/>
      <c r="G20" s="820"/>
      <c r="H20" s="820"/>
    </row>
    <row r="21" spans="1:8" s="33" customFormat="1" ht="12.75">
      <c r="A21" s="36"/>
      <c r="B21" s="37" t="s">
        <v>32</v>
      </c>
      <c r="C21" s="820"/>
      <c r="D21" s="820"/>
      <c r="E21" s="820"/>
      <c r="F21" s="820"/>
      <c r="G21" s="820"/>
      <c r="H21" s="820"/>
    </row>
    <row r="22" spans="1:8" s="33" customFormat="1" ht="12.75">
      <c r="A22" s="36"/>
      <c r="B22" s="37" t="s">
        <v>189</v>
      </c>
      <c r="C22" s="820"/>
      <c r="D22" s="820"/>
      <c r="E22" s="820"/>
      <c r="F22" s="820"/>
      <c r="G22" s="820"/>
      <c r="H22" s="820"/>
    </row>
    <row r="23" spans="1:8" s="33" customFormat="1" ht="12.75">
      <c r="A23" s="36"/>
      <c r="B23" s="37" t="s">
        <v>192</v>
      </c>
      <c r="C23" s="820"/>
      <c r="D23" s="820"/>
      <c r="E23" s="820"/>
      <c r="F23" s="820"/>
      <c r="G23" s="820"/>
      <c r="H23" s="820"/>
    </row>
    <row r="24" spans="1:8" s="33" customFormat="1" ht="12.75">
      <c r="A24" s="32"/>
      <c r="B24" s="37" t="s">
        <v>193</v>
      </c>
      <c r="C24" s="821"/>
      <c r="D24" s="821"/>
      <c r="E24" s="821"/>
      <c r="F24" s="821"/>
      <c r="G24" s="821"/>
      <c r="H24" s="821"/>
    </row>
    <row r="25" spans="1:8" s="33" customFormat="1" ht="12.75">
      <c r="A25" s="150"/>
      <c r="B25" s="225" t="s">
        <v>29</v>
      </c>
      <c r="C25" s="342">
        <f>SUM(C17)</f>
        <v>48.375</v>
      </c>
      <c r="D25" s="342">
        <f>SUM(D17)</f>
        <v>0</v>
      </c>
      <c r="E25" s="342">
        <f>SUM(E17)</f>
        <v>48.375</v>
      </c>
      <c r="F25" s="342">
        <f>SUM(F17)</f>
        <v>0</v>
      </c>
      <c r="G25" s="342">
        <f>G17</f>
        <v>48.375</v>
      </c>
      <c r="H25" s="342">
        <f>SUM(H17)</f>
        <v>0</v>
      </c>
    </row>
    <row r="26" spans="1:8" ht="13.5" thickBot="1">
      <c r="A26" s="39"/>
      <c r="B26" s="40" t="s">
        <v>33</v>
      </c>
      <c r="C26" s="617">
        <f aca="true" t="shared" si="0" ref="C26:H26">C25+C16</f>
        <v>96.75</v>
      </c>
      <c r="D26" s="341">
        <f t="shared" si="0"/>
        <v>0</v>
      </c>
      <c r="E26" s="617">
        <f t="shared" si="0"/>
        <v>96.75</v>
      </c>
      <c r="F26" s="341">
        <f t="shared" si="0"/>
        <v>0</v>
      </c>
      <c r="G26" s="341">
        <f t="shared" si="0"/>
        <v>96.75</v>
      </c>
      <c r="H26" s="341">
        <f t="shared" si="0"/>
        <v>0</v>
      </c>
    </row>
    <row r="27" s="33" customFormat="1" ht="15.75" customHeight="1"/>
    <row r="28" s="33" customFormat="1" ht="16.5" customHeight="1"/>
    <row r="29" spans="2:8" ht="12.75" customHeight="1">
      <c r="B29" s="15" t="s">
        <v>11</v>
      </c>
      <c r="C29" s="15"/>
      <c r="D29" s="15"/>
      <c r="E29" s="15"/>
      <c r="F29" s="15"/>
      <c r="G29" s="667"/>
      <c r="H29" s="667"/>
    </row>
    <row r="30" spans="3:8" ht="13.5" customHeight="1">
      <c r="C30" s="86"/>
      <c r="D30" s="86"/>
      <c r="E30" s="86"/>
      <c r="F30" s="86"/>
      <c r="G30" s="667" t="s">
        <v>819</v>
      </c>
      <c r="H30" s="667"/>
    </row>
    <row r="31" spans="3:8" ht="12" customHeight="1">
      <c r="C31" s="86"/>
      <c r="D31" s="86"/>
      <c r="E31" s="86"/>
      <c r="F31" s="86"/>
      <c r="G31" s="667" t="s">
        <v>488</v>
      </c>
      <c r="H31" s="667"/>
    </row>
    <row r="32" spans="2:10" ht="12.75">
      <c r="B32" s="15"/>
      <c r="C32" s="15"/>
      <c r="D32" s="15"/>
      <c r="E32" s="15"/>
      <c r="F32" s="15"/>
      <c r="G32" s="699" t="s">
        <v>80</v>
      </c>
      <c r="H32" s="699"/>
      <c r="I32" s="699"/>
      <c r="J32" s="699"/>
    </row>
  </sheetData>
  <sheetProtection/>
  <mergeCells count="20">
    <mergeCell ref="C17:C24"/>
    <mergeCell ref="H12:H15"/>
    <mergeCell ref="A5:H5"/>
    <mergeCell ref="G31:H31"/>
    <mergeCell ref="E12:E15"/>
    <mergeCell ref="A8:B8"/>
    <mergeCell ref="H17:H24"/>
    <mergeCell ref="D17:D24"/>
    <mergeCell ref="E17:E24"/>
    <mergeCell ref="F17:F24"/>
    <mergeCell ref="G29:H29"/>
    <mergeCell ref="G17:G24"/>
    <mergeCell ref="G30:H30"/>
    <mergeCell ref="G32:J32"/>
    <mergeCell ref="A2:H2"/>
    <mergeCell ref="A3:H3"/>
    <mergeCell ref="C12:C15"/>
    <mergeCell ref="D12:D15"/>
    <mergeCell ref="F12:F15"/>
    <mergeCell ref="G12:G15"/>
  </mergeCells>
  <printOptions horizontalCentered="1"/>
  <pageMargins left="0.45" right="0.18" top="0.96" bottom="0" header="0.61"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R28"/>
  <sheetViews>
    <sheetView zoomScalePageLayoutView="0" workbookViewId="0" topLeftCell="A1">
      <selection activeCell="A24" sqref="A24"/>
    </sheetView>
  </sheetViews>
  <sheetFormatPr defaultColWidth="9.140625" defaultRowHeight="12.75"/>
  <cols>
    <col min="1" max="1" width="7.8515625" style="16" customWidth="1"/>
    <col min="2" max="2" width="19.57421875" style="16" customWidth="1"/>
    <col min="3" max="3" width="34.140625" style="16" customWidth="1"/>
    <col min="4" max="4" width="35.421875" style="16" customWidth="1"/>
    <col min="5" max="5" width="30.28125" style="16" customWidth="1"/>
    <col min="6" max="16384" width="9.140625" style="16" customWidth="1"/>
  </cols>
  <sheetData>
    <row r="1" spans="5:6" ht="15">
      <c r="E1" s="42" t="s">
        <v>632</v>
      </c>
      <c r="F1" s="44"/>
    </row>
    <row r="2" spans="1:6" ht="15">
      <c r="A2" s="751" t="s">
        <v>0</v>
      </c>
      <c r="B2" s="751"/>
      <c r="C2" s="751"/>
      <c r="D2" s="751"/>
      <c r="E2" s="751"/>
      <c r="F2" s="46"/>
    </row>
    <row r="3" spans="2:6" ht="20.25">
      <c r="B3" s="151"/>
      <c r="C3" s="645" t="s">
        <v>854</v>
      </c>
      <c r="D3" s="645"/>
      <c r="E3" s="45"/>
      <c r="F3" s="45"/>
    </row>
    <row r="4" ht="10.5" customHeight="1"/>
    <row r="5" spans="1:5" ht="12.75">
      <c r="A5" s="818" t="s">
        <v>920</v>
      </c>
      <c r="B5" s="818"/>
      <c r="C5" s="818"/>
      <c r="D5" s="818"/>
      <c r="E5" s="818"/>
    </row>
    <row r="7" ht="0.75" customHeight="1"/>
    <row r="8" ht="12.75">
      <c r="A8" s="15" t="s">
        <v>637</v>
      </c>
    </row>
    <row r="9" spans="4:18" ht="12.75">
      <c r="D9" s="828" t="s">
        <v>933</v>
      </c>
      <c r="E9" s="828"/>
      <c r="Q9" s="21"/>
      <c r="R9" s="21"/>
    </row>
    <row r="10" spans="1:18" ht="26.25" customHeight="1">
      <c r="A10" s="714" t="s">
        <v>2</v>
      </c>
      <c r="B10" s="714" t="s">
        <v>3</v>
      </c>
      <c r="C10" s="829" t="s">
        <v>633</v>
      </c>
      <c r="D10" s="830"/>
      <c r="E10" s="831"/>
      <c r="Q10" s="21"/>
      <c r="R10" s="21"/>
    </row>
    <row r="11" spans="1:5" ht="56.25" customHeight="1">
      <c r="A11" s="716"/>
      <c r="B11" s="716"/>
      <c r="C11" s="257" t="s">
        <v>634</v>
      </c>
      <c r="D11" s="257" t="s">
        <v>635</v>
      </c>
      <c r="E11" s="257" t="s">
        <v>636</v>
      </c>
    </row>
    <row r="12" spans="1:5" s="114" customFormat="1" ht="15.75" customHeight="1">
      <c r="A12" s="69">
        <v>1</v>
      </c>
      <c r="B12" s="68">
        <v>2</v>
      </c>
      <c r="C12" s="69">
        <v>3</v>
      </c>
      <c r="D12" s="68">
        <v>4</v>
      </c>
      <c r="E12" s="69">
        <v>5</v>
      </c>
    </row>
    <row r="13" spans="1:5" ht="14.25" customHeight="1">
      <c r="A13" s="8">
        <v>1</v>
      </c>
      <c r="B13" s="19" t="s">
        <v>476</v>
      </c>
      <c r="C13" s="148">
        <v>0</v>
      </c>
      <c r="D13" s="18">
        <v>1</v>
      </c>
      <c r="E13" s="825">
        <v>6529</v>
      </c>
    </row>
    <row r="14" spans="1:5" ht="14.25" customHeight="1">
      <c r="A14" s="8">
        <v>2</v>
      </c>
      <c r="B14" s="19" t="s">
        <v>477</v>
      </c>
      <c r="C14" s="148">
        <v>0</v>
      </c>
      <c r="D14" s="18">
        <v>1</v>
      </c>
      <c r="E14" s="826"/>
    </row>
    <row r="15" spans="1:5" ht="14.25" customHeight="1">
      <c r="A15" s="8">
        <v>3</v>
      </c>
      <c r="B15" s="19" t="s">
        <v>478</v>
      </c>
      <c r="C15" s="148">
        <v>0</v>
      </c>
      <c r="D15" s="18">
        <v>1</v>
      </c>
      <c r="E15" s="826"/>
    </row>
    <row r="16" spans="1:5" ht="14.25" customHeight="1">
      <c r="A16" s="8">
        <v>4</v>
      </c>
      <c r="B16" s="19" t="s">
        <v>479</v>
      </c>
      <c r="C16" s="148">
        <v>0</v>
      </c>
      <c r="D16" s="18">
        <v>1</v>
      </c>
      <c r="E16" s="826"/>
    </row>
    <row r="17" spans="1:5" ht="14.25" customHeight="1">
      <c r="A17" s="8">
        <v>5</v>
      </c>
      <c r="B17" s="19" t="s">
        <v>480</v>
      </c>
      <c r="C17" s="148">
        <v>0</v>
      </c>
      <c r="D17" s="18">
        <v>1</v>
      </c>
      <c r="E17" s="826"/>
    </row>
    <row r="18" spans="1:5" ht="14.25" customHeight="1">
      <c r="A18" s="8">
        <v>6</v>
      </c>
      <c r="B18" s="19" t="s">
        <v>481</v>
      </c>
      <c r="C18" s="148">
        <v>0</v>
      </c>
      <c r="D18" s="18">
        <v>1</v>
      </c>
      <c r="E18" s="826"/>
    </row>
    <row r="19" spans="1:5" ht="14.25" customHeight="1">
      <c r="A19" s="8">
        <v>7</v>
      </c>
      <c r="B19" s="19" t="s">
        <v>482</v>
      </c>
      <c r="C19" s="148">
        <v>0</v>
      </c>
      <c r="D19" s="18">
        <v>1</v>
      </c>
      <c r="E19" s="826"/>
    </row>
    <row r="20" spans="1:5" ht="14.25" customHeight="1">
      <c r="A20" s="8">
        <v>8</v>
      </c>
      <c r="B20" s="19" t="s">
        <v>483</v>
      </c>
      <c r="C20" s="148">
        <v>0</v>
      </c>
      <c r="D20" s="18">
        <v>1</v>
      </c>
      <c r="E20" s="827"/>
    </row>
    <row r="21" spans="1:5" ht="12.75">
      <c r="A21" s="3" t="s">
        <v>15</v>
      </c>
      <c r="B21" s="19"/>
      <c r="C21" s="148">
        <v>0</v>
      </c>
      <c r="D21" s="18">
        <f>SUM(D13:D20)</f>
        <v>8</v>
      </c>
      <c r="E21" s="609">
        <f>E13</f>
        <v>6529</v>
      </c>
    </row>
    <row r="22" spans="1:5" ht="12.75">
      <c r="A22" s="21" t="s">
        <v>559</v>
      </c>
      <c r="B22" s="619" t="s">
        <v>1052</v>
      </c>
      <c r="E22" s="28"/>
    </row>
    <row r="23" s="33" customFormat="1" ht="15.75" customHeight="1"/>
    <row r="24" spans="2:6" ht="12.75" customHeight="1">
      <c r="B24" s="15" t="s">
        <v>11</v>
      </c>
      <c r="C24" s="15"/>
      <c r="D24" s="15"/>
      <c r="F24" s="122"/>
    </row>
    <row r="25" spans="3:6" ht="13.5" customHeight="1">
      <c r="C25" s="86"/>
      <c r="D25" s="86"/>
      <c r="E25" s="122"/>
      <c r="F25" s="86"/>
    </row>
    <row r="26" spans="3:6" ht="12" customHeight="1">
      <c r="C26" s="86"/>
      <c r="D26" s="86"/>
      <c r="E26" s="122" t="s">
        <v>819</v>
      </c>
      <c r="F26" s="122"/>
    </row>
    <row r="27" spans="2:8" ht="12.75">
      <c r="B27" s="15"/>
      <c r="C27" s="15"/>
      <c r="D27" s="15"/>
      <c r="E27" s="122" t="s">
        <v>488</v>
      </c>
      <c r="F27" s="29"/>
      <c r="G27" s="29"/>
      <c r="H27" s="29"/>
    </row>
    <row r="28" ht="12.75">
      <c r="E28" s="29" t="s">
        <v>80</v>
      </c>
    </row>
  </sheetData>
  <sheetProtection/>
  <mergeCells count="8">
    <mergeCell ref="E13:E20"/>
    <mergeCell ref="A2:E2"/>
    <mergeCell ref="A5:E5"/>
    <mergeCell ref="D9:E9"/>
    <mergeCell ref="A10:A11"/>
    <mergeCell ref="B10:B11"/>
    <mergeCell ref="C10:E10"/>
    <mergeCell ref="C3:D3"/>
  </mergeCells>
  <printOptions/>
  <pageMargins left="0.78" right="0.7" top="1.15" bottom="0.75" header="0.81"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0:I32"/>
  <sheetViews>
    <sheetView zoomScalePageLayoutView="0" workbookViewId="0" topLeftCell="A5">
      <selection activeCell="A11" sqref="A11"/>
    </sheetView>
  </sheetViews>
  <sheetFormatPr defaultColWidth="9.140625" defaultRowHeight="12.75"/>
  <sheetData>
    <row r="1" ht="24.75" customHeight="1"/>
    <row r="2" ht="24.75" customHeight="1"/>
    <row r="3" ht="24.75" customHeight="1"/>
    <row r="4" ht="24.75" customHeight="1"/>
    <row r="5" ht="24.75" customHeight="1"/>
    <row r="6" ht="24.75" customHeight="1"/>
    <row r="10" ht="12.75">
      <c r="B10" s="15"/>
    </row>
    <row r="11" ht="18.75" customHeight="1"/>
    <row r="12" spans="2:9" ht="12.75" customHeight="1">
      <c r="B12" s="643" t="s">
        <v>895</v>
      </c>
      <c r="C12" s="643"/>
      <c r="D12" s="643"/>
      <c r="E12" s="643"/>
      <c r="F12" s="643"/>
      <c r="G12" s="643"/>
      <c r="H12" s="643"/>
      <c r="I12" s="643"/>
    </row>
    <row r="13" spans="2:9" ht="12.75" customHeight="1">
      <c r="B13" s="643"/>
      <c r="C13" s="643"/>
      <c r="D13" s="643"/>
      <c r="E13" s="643"/>
      <c r="F13" s="643"/>
      <c r="G13" s="643"/>
      <c r="H13" s="643"/>
      <c r="I13" s="643"/>
    </row>
    <row r="14" spans="2:9" ht="12.75" customHeight="1">
      <c r="B14" s="643"/>
      <c r="C14" s="643"/>
      <c r="D14" s="643"/>
      <c r="E14" s="643"/>
      <c r="F14" s="643"/>
      <c r="G14" s="643"/>
      <c r="H14" s="643"/>
      <c r="I14" s="643"/>
    </row>
    <row r="15" spans="2:9" ht="12.75" customHeight="1">
      <c r="B15" s="643"/>
      <c r="C15" s="643"/>
      <c r="D15" s="643"/>
      <c r="E15" s="643"/>
      <c r="F15" s="643"/>
      <c r="G15" s="643"/>
      <c r="H15" s="643"/>
      <c r="I15" s="643"/>
    </row>
    <row r="16" spans="2:9" ht="12.75" customHeight="1">
      <c r="B16" s="643"/>
      <c r="C16" s="643"/>
      <c r="D16" s="643"/>
      <c r="E16" s="643"/>
      <c r="F16" s="643"/>
      <c r="G16" s="643"/>
      <c r="H16" s="643"/>
      <c r="I16" s="643"/>
    </row>
    <row r="17" spans="2:9" ht="12.75" customHeight="1">
      <c r="B17" s="643"/>
      <c r="C17" s="643"/>
      <c r="D17" s="643"/>
      <c r="E17" s="643"/>
      <c r="F17" s="643"/>
      <c r="G17" s="643"/>
      <c r="H17" s="643"/>
      <c r="I17" s="643"/>
    </row>
    <row r="18" spans="2:9" ht="12.75" customHeight="1">
      <c r="B18" s="643"/>
      <c r="C18" s="643"/>
      <c r="D18" s="643"/>
      <c r="E18" s="643"/>
      <c r="F18" s="643"/>
      <c r="G18" s="643"/>
      <c r="H18" s="643"/>
      <c r="I18" s="643"/>
    </row>
    <row r="19" spans="2:9" ht="12.75" customHeight="1">
      <c r="B19" s="643"/>
      <c r="C19" s="643"/>
      <c r="D19" s="643"/>
      <c r="E19" s="643"/>
      <c r="F19" s="643"/>
      <c r="G19" s="643"/>
      <c r="H19" s="643"/>
      <c r="I19" s="643"/>
    </row>
    <row r="20" spans="2:9" ht="12.75" customHeight="1">
      <c r="B20" s="643"/>
      <c r="C20" s="643"/>
      <c r="D20" s="643"/>
      <c r="E20" s="643"/>
      <c r="F20" s="643"/>
      <c r="G20" s="643"/>
      <c r="H20" s="643"/>
      <c r="I20" s="643"/>
    </row>
    <row r="21" spans="2:9" ht="12.75" customHeight="1">
      <c r="B21" s="643"/>
      <c r="C21" s="643"/>
      <c r="D21" s="643"/>
      <c r="E21" s="643"/>
      <c r="F21" s="643"/>
      <c r="G21" s="643"/>
      <c r="H21" s="643"/>
      <c r="I21" s="643"/>
    </row>
    <row r="22" spans="2:9" ht="12.75" customHeight="1">
      <c r="B22" s="643"/>
      <c r="C22" s="643"/>
      <c r="D22" s="643"/>
      <c r="E22" s="643"/>
      <c r="F22" s="643"/>
      <c r="G22" s="643"/>
      <c r="H22" s="643"/>
      <c r="I22" s="643"/>
    </row>
    <row r="23" spans="2:9" ht="12.75" customHeight="1">
      <c r="B23" s="643"/>
      <c r="C23" s="643"/>
      <c r="D23" s="643"/>
      <c r="E23" s="643"/>
      <c r="F23" s="643"/>
      <c r="G23" s="643"/>
      <c r="H23" s="643"/>
      <c r="I23" s="643"/>
    </row>
    <row r="24" spans="2:9" ht="12.75" customHeight="1">
      <c r="B24" s="643"/>
      <c r="C24" s="643"/>
      <c r="D24" s="643"/>
      <c r="E24" s="643"/>
      <c r="F24" s="643"/>
      <c r="G24" s="643"/>
      <c r="H24" s="643"/>
      <c r="I24" s="643"/>
    </row>
    <row r="25" spans="2:9" ht="12.75" customHeight="1">
      <c r="B25" s="643"/>
      <c r="C25" s="643"/>
      <c r="D25" s="643"/>
      <c r="E25" s="643"/>
      <c r="F25" s="643"/>
      <c r="G25" s="643"/>
      <c r="H25" s="643"/>
      <c r="I25" s="643"/>
    </row>
    <row r="26" spans="2:9" ht="12.75" customHeight="1">
      <c r="B26" s="643"/>
      <c r="C26" s="643"/>
      <c r="D26" s="643"/>
      <c r="E26" s="643"/>
      <c r="F26" s="643"/>
      <c r="G26" s="643"/>
      <c r="H26" s="643"/>
      <c r="I26" s="643"/>
    </row>
    <row r="27" spans="2:9" ht="12.75" customHeight="1">
      <c r="B27" s="643"/>
      <c r="C27" s="643"/>
      <c r="D27" s="643"/>
      <c r="E27" s="643"/>
      <c r="F27" s="643"/>
      <c r="G27" s="643"/>
      <c r="H27" s="643"/>
      <c r="I27" s="643"/>
    </row>
    <row r="28" spans="2:9" ht="12.75">
      <c r="B28" s="643"/>
      <c r="C28" s="643"/>
      <c r="D28" s="643"/>
      <c r="E28" s="643"/>
      <c r="F28" s="643"/>
      <c r="G28" s="643"/>
      <c r="H28" s="643"/>
      <c r="I28" s="643"/>
    </row>
    <row r="29" spans="2:9" ht="12.75">
      <c r="B29" s="643"/>
      <c r="C29" s="643"/>
      <c r="D29" s="643"/>
      <c r="E29" s="643"/>
      <c r="F29" s="643"/>
      <c r="G29" s="643"/>
      <c r="H29" s="643"/>
      <c r="I29" s="643"/>
    </row>
    <row r="30" spans="2:9" ht="12.75">
      <c r="B30" s="643"/>
      <c r="C30" s="643"/>
      <c r="D30" s="643"/>
      <c r="E30" s="643"/>
      <c r="F30" s="643"/>
      <c r="G30" s="643"/>
      <c r="H30" s="643"/>
      <c r="I30" s="643"/>
    </row>
    <row r="31" spans="2:9" ht="12.75">
      <c r="B31" s="643"/>
      <c r="C31" s="643"/>
      <c r="D31" s="643"/>
      <c r="E31" s="643"/>
      <c r="F31" s="643"/>
      <c r="G31" s="643"/>
      <c r="H31" s="643"/>
      <c r="I31" s="643"/>
    </row>
    <row r="32" spans="2:9" ht="12.75">
      <c r="B32" s="643"/>
      <c r="C32" s="643"/>
      <c r="D32" s="643"/>
      <c r="E32" s="643"/>
      <c r="F32" s="643"/>
      <c r="G32" s="643"/>
      <c r="H32" s="643"/>
      <c r="I32" s="643"/>
    </row>
  </sheetData>
  <sheetProtection/>
  <mergeCells count="1">
    <mergeCell ref="B12:I32"/>
  </mergeCells>
  <printOptions/>
  <pageMargins left="0.7" right="0.7" top="0.75" bottom="0.75" header="0.3" footer="0.3"/>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J31"/>
  <sheetViews>
    <sheetView view="pageBreakPreview" zoomScaleSheetLayoutView="100" zoomScalePageLayoutView="0" workbookViewId="0" topLeftCell="A4">
      <selection activeCell="I22" sqref="I22"/>
    </sheetView>
  </sheetViews>
  <sheetFormatPr defaultColWidth="9.140625" defaultRowHeight="12.75"/>
  <cols>
    <col min="1" max="1" width="5.8515625" style="0" customWidth="1"/>
    <col min="2" max="2" width="16.28125" style="0" customWidth="1"/>
    <col min="3" max="3" width="20.8515625" style="0" customWidth="1"/>
    <col min="4" max="4" width="16.00390625" style="0" customWidth="1"/>
    <col min="5" max="5" width="12.8515625" style="0" customWidth="1"/>
    <col min="6" max="6" width="19.28125" style="0" customWidth="1"/>
    <col min="7" max="7" width="13.57421875" style="0" customWidth="1"/>
    <col min="8" max="8" width="17.8515625" style="0" customWidth="1"/>
    <col min="9" max="9" width="13.57421875" style="0" customWidth="1"/>
  </cols>
  <sheetData>
    <row r="1" spans="8:9" ht="18">
      <c r="H1" s="833" t="s">
        <v>703</v>
      </c>
      <c r="I1" s="833"/>
    </row>
    <row r="2" spans="1:10" ht="18">
      <c r="A2" s="739" t="s">
        <v>0</v>
      </c>
      <c r="B2" s="739"/>
      <c r="C2" s="739"/>
      <c r="D2" s="739"/>
      <c r="E2" s="739"/>
      <c r="F2" s="739"/>
      <c r="G2" s="739"/>
      <c r="H2" s="739"/>
      <c r="I2" s="739"/>
      <c r="J2" s="208"/>
    </row>
    <row r="3" spans="1:10" ht="21">
      <c r="A3" s="740" t="s">
        <v>854</v>
      </c>
      <c r="B3" s="740"/>
      <c r="C3" s="740"/>
      <c r="D3" s="740"/>
      <c r="E3" s="740"/>
      <c r="F3" s="740"/>
      <c r="G3" s="740"/>
      <c r="H3" s="740"/>
      <c r="I3" s="740"/>
      <c r="J3" s="209"/>
    </row>
    <row r="4" spans="3:10" ht="9.75" customHeight="1">
      <c r="C4" s="182"/>
      <c r="D4" s="182"/>
      <c r="E4" s="182"/>
      <c r="F4" s="182"/>
      <c r="G4" s="182"/>
      <c r="H4" s="182"/>
      <c r="I4" s="209"/>
      <c r="J4" s="209"/>
    </row>
    <row r="5" spans="1:9" ht="20.25" customHeight="1">
      <c r="A5" s="832" t="s">
        <v>921</v>
      </c>
      <c r="B5" s="832"/>
      <c r="C5" s="832"/>
      <c r="D5" s="832"/>
      <c r="E5" s="832"/>
      <c r="F5" s="832"/>
      <c r="G5" s="832"/>
      <c r="H5" s="832"/>
      <c r="I5" s="832"/>
    </row>
    <row r="6" spans="3:8" ht="9.75" customHeight="1">
      <c r="C6" s="252"/>
      <c r="D6" s="211"/>
      <c r="E6" s="211"/>
      <c r="F6" s="211"/>
      <c r="G6" s="211"/>
      <c r="H6" s="211"/>
    </row>
    <row r="7" spans="1:9" s="188" customFormat="1" ht="12.75">
      <c r="A7" s="193" t="s">
        <v>475</v>
      </c>
      <c r="C7" s="193"/>
      <c r="D7" s="193"/>
      <c r="E7" s="193"/>
      <c r="F7" s="193"/>
      <c r="G7" s="193"/>
      <c r="H7" s="193"/>
      <c r="I7" s="193"/>
    </row>
    <row r="8" spans="2:9" s="188" customFormat="1" ht="12.75">
      <c r="B8" s="193"/>
      <c r="C8" s="193"/>
      <c r="D8" s="193"/>
      <c r="E8" s="193"/>
      <c r="F8" s="193"/>
      <c r="G8" s="193"/>
      <c r="H8" s="193"/>
      <c r="I8" s="193"/>
    </row>
    <row r="9" spans="1:9" s="260" customFormat="1" ht="15" customHeight="1">
      <c r="A9" s="834" t="s">
        <v>70</v>
      </c>
      <c r="B9" s="834" t="s">
        <v>514</v>
      </c>
      <c r="C9" s="834" t="s">
        <v>413</v>
      </c>
      <c r="D9" s="834" t="s">
        <v>542</v>
      </c>
      <c r="E9" s="842" t="s">
        <v>394</v>
      </c>
      <c r="F9" s="843"/>
      <c r="G9" s="844"/>
      <c r="H9" s="834" t="s">
        <v>417</v>
      </c>
      <c r="I9" s="834" t="s">
        <v>418</v>
      </c>
    </row>
    <row r="10" spans="1:9" s="260" customFormat="1" ht="12.75" customHeight="1">
      <c r="A10" s="835"/>
      <c r="B10" s="835"/>
      <c r="C10" s="835"/>
      <c r="D10" s="835"/>
      <c r="E10" s="834" t="s">
        <v>414</v>
      </c>
      <c r="F10" s="834" t="s">
        <v>415</v>
      </c>
      <c r="G10" s="834" t="s">
        <v>416</v>
      </c>
      <c r="H10" s="835"/>
      <c r="I10" s="840"/>
    </row>
    <row r="11" spans="1:9" s="260" customFormat="1" ht="20.25" customHeight="1">
      <c r="A11" s="835"/>
      <c r="B11" s="835"/>
      <c r="C11" s="835"/>
      <c r="D11" s="835"/>
      <c r="E11" s="835"/>
      <c r="F11" s="835"/>
      <c r="G11" s="835"/>
      <c r="H11" s="835"/>
      <c r="I11" s="840"/>
    </row>
    <row r="12" spans="1:9" s="260" customFormat="1" ht="46.5" customHeight="1">
      <c r="A12" s="836"/>
      <c r="B12" s="836"/>
      <c r="C12" s="836"/>
      <c r="D12" s="836"/>
      <c r="E12" s="836"/>
      <c r="F12" s="836"/>
      <c r="G12" s="836"/>
      <c r="H12" s="836"/>
      <c r="I12" s="841"/>
    </row>
    <row r="13" spans="1:9" ht="15">
      <c r="A13" s="212">
        <v>1</v>
      </c>
      <c r="B13" s="212">
        <v>2</v>
      </c>
      <c r="C13" s="213">
        <v>3</v>
      </c>
      <c r="D13" s="212">
        <v>4</v>
      </c>
      <c r="E13" s="212">
        <v>5</v>
      </c>
      <c r="F13" s="213">
        <v>6</v>
      </c>
      <c r="G13" s="212">
        <v>7</v>
      </c>
      <c r="H13" s="212">
        <v>8</v>
      </c>
      <c r="I13" s="213">
        <v>9</v>
      </c>
    </row>
    <row r="14" spans="1:9" ht="12.75">
      <c r="A14" s="8">
        <v>1</v>
      </c>
      <c r="B14" s="19" t="s">
        <v>476</v>
      </c>
      <c r="C14" s="837" t="s">
        <v>762</v>
      </c>
      <c r="D14" s="214">
        <f>'AT-3'!G9</f>
        <v>917</v>
      </c>
      <c r="E14" s="509">
        <v>93</v>
      </c>
      <c r="F14" s="214">
        <v>0</v>
      </c>
      <c r="G14" s="214">
        <v>0</v>
      </c>
      <c r="H14" s="214"/>
      <c r="I14" s="343">
        <v>6.5726</v>
      </c>
    </row>
    <row r="15" spans="1:9" ht="12.75">
      <c r="A15" s="8">
        <v>2</v>
      </c>
      <c r="B15" s="19" t="s">
        <v>477</v>
      </c>
      <c r="C15" s="838"/>
      <c r="D15" s="214">
        <f>'AT-3'!G10</f>
        <v>875</v>
      </c>
      <c r="E15" s="509">
        <v>0</v>
      </c>
      <c r="F15" s="214">
        <v>0</v>
      </c>
      <c r="G15" s="214">
        <v>0</v>
      </c>
      <c r="H15" s="214"/>
      <c r="I15" s="343">
        <v>0</v>
      </c>
    </row>
    <row r="16" spans="1:9" ht="12.75" customHeight="1">
      <c r="A16" s="8">
        <v>3</v>
      </c>
      <c r="B16" s="19" t="s">
        <v>478</v>
      </c>
      <c r="C16" s="838"/>
      <c r="D16" s="214">
        <f>'AT-3'!G11</f>
        <v>668</v>
      </c>
      <c r="E16" s="509">
        <v>0</v>
      </c>
      <c r="F16" s="214">
        <v>0</v>
      </c>
      <c r="G16" s="214">
        <v>0</v>
      </c>
      <c r="H16" s="506"/>
      <c r="I16" s="343">
        <v>0</v>
      </c>
    </row>
    <row r="17" spans="1:9" ht="12.75" customHeight="1">
      <c r="A17" s="8">
        <v>4</v>
      </c>
      <c r="B17" s="19" t="s">
        <v>479</v>
      </c>
      <c r="C17" s="838"/>
      <c r="D17" s="214">
        <f>'AT-3'!G12</f>
        <v>810</v>
      </c>
      <c r="E17" s="509">
        <v>0</v>
      </c>
      <c r="F17" s="214">
        <v>0</v>
      </c>
      <c r="G17" s="214">
        <v>0</v>
      </c>
      <c r="H17" s="506"/>
      <c r="I17" s="343">
        <v>0</v>
      </c>
    </row>
    <row r="18" spans="1:9" ht="12.75" customHeight="1">
      <c r="A18" s="8">
        <v>5</v>
      </c>
      <c r="B18" s="19" t="s">
        <v>480</v>
      </c>
      <c r="C18" s="838"/>
      <c r="D18" s="214">
        <f>'AT-3'!G13</f>
        <v>925</v>
      </c>
      <c r="E18" s="509">
        <v>0</v>
      </c>
      <c r="F18" s="214">
        <v>0</v>
      </c>
      <c r="G18" s="214">
        <v>0</v>
      </c>
      <c r="H18" s="506"/>
      <c r="I18" s="343">
        <v>0</v>
      </c>
    </row>
    <row r="19" spans="1:9" ht="12.75">
      <c r="A19" s="8">
        <v>6</v>
      </c>
      <c r="B19" s="19" t="s">
        <v>481</v>
      </c>
      <c r="C19" s="838"/>
      <c r="D19" s="214">
        <f>'AT-3'!G14</f>
        <v>475</v>
      </c>
      <c r="E19" s="509">
        <v>0</v>
      </c>
      <c r="F19" s="214">
        <v>0</v>
      </c>
      <c r="G19" s="214">
        <v>0</v>
      </c>
      <c r="H19" s="9"/>
      <c r="I19" s="343">
        <v>0</v>
      </c>
    </row>
    <row r="20" spans="1:9" ht="12.75">
      <c r="A20" s="8">
        <v>7</v>
      </c>
      <c r="B20" s="19" t="s">
        <v>482</v>
      </c>
      <c r="C20" s="838"/>
      <c r="D20" s="214">
        <f>'AT-3'!G15</f>
        <v>719</v>
      </c>
      <c r="E20" s="509">
        <v>0</v>
      </c>
      <c r="F20" s="214">
        <v>0</v>
      </c>
      <c r="G20" s="214">
        <v>0</v>
      </c>
      <c r="H20" s="9"/>
      <c r="I20" s="343">
        <v>0</v>
      </c>
    </row>
    <row r="21" spans="1:9" ht="12.75">
      <c r="A21" s="8">
        <v>8</v>
      </c>
      <c r="B21" s="19" t="s">
        <v>483</v>
      </c>
      <c r="C21" s="839"/>
      <c r="D21" s="214">
        <f>'AT-3'!G16</f>
        <v>1140</v>
      </c>
      <c r="E21" s="510">
        <v>115</v>
      </c>
      <c r="F21" s="214">
        <v>0</v>
      </c>
      <c r="G21" s="214">
        <v>0</v>
      </c>
      <c r="H21" s="9"/>
      <c r="I21" s="343">
        <v>8.1274</v>
      </c>
    </row>
    <row r="22" spans="1:9" ht="12.75">
      <c r="A22" s="3"/>
      <c r="B22" s="27" t="s">
        <v>484</v>
      </c>
      <c r="C22" s="9"/>
      <c r="D22" s="9">
        <f aca="true" t="shared" si="0" ref="D22:I22">SUM(D14:D21)</f>
        <v>6529</v>
      </c>
      <c r="E22" s="9">
        <f t="shared" si="0"/>
        <v>208</v>
      </c>
      <c r="F22" s="9">
        <f t="shared" si="0"/>
        <v>0</v>
      </c>
      <c r="G22" s="9">
        <f t="shared" si="0"/>
        <v>0</v>
      </c>
      <c r="H22" s="9">
        <f t="shared" si="0"/>
        <v>0</v>
      </c>
      <c r="I22" s="343">
        <f t="shared" si="0"/>
        <v>14.7</v>
      </c>
    </row>
    <row r="23" spans="1:2" ht="12.75">
      <c r="A23" s="12"/>
      <c r="B23" s="28"/>
    </row>
    <row r="24" spans="1:6" ht="12.75">
      <c r="A24" s="16"/>
      <c r="B24" s="387"/>
      <c r="F24" s="344"/>
    </row>
    <row r="25" spans="1:6" ht="12.75">
      <c r="A25" s="16"/>
      <c r="B25" s="387"/>
      <c r="F25" s="344"/>
    </row>
    <row r="26" spans="1:5" ht="12.75">
      <c r="A26" s="16"/>
      <c r="B26" s="387"/>
      <c r="E26" t="s">
        <v>10</v>
      </c>
    </row>
    <row r="27" spans="1:6" ht="12.75">
      <c r="A27" s="16"/>
      <c r="F27" s="16" t="s">
        <v>10</v>
      </c>
    </row>
    <row r="28" spans="1:9" ht="12.75">
      <c r="A28" s="188"/>
      <c r="B28" s="188"/>
      <c r="C28" s="188"/>
      <c r="D28" s="188"/>
      <c r="G28" s="743"/>
      <c r="H28" s="743"/>
      <c r="I28" s="743"/>
    </row>
    <row r="29" spans="1:9" ht="15" customHeight="1">
      <c r="A29" s="188"/>
      <c r="B29" s="188"/>
      <c r="C29" s="188"/>
      <c r="D29" s="188"/>
      <c r="F29" s="16" t="s">
        <v>10</v>
      </c>
      <c r="G29" s="743" t="s">
        <v>819</v>
      </c>
      <c r="H29" s="743"/>
      <c r="I29" s="743"/>
    </row>
    <row r="30" spans="1:9" ht="15" customHeight="1">
      <c r="A30" s="188"/>
      <c r="B30" s="188"/>
      <c r="C30" s="188"/>
      <c r="D30" s="188"/>
      <c r="G30" s="743" t="s">
        <v>487</v>
      </c>
      <c r="H30" s="743"/>
      <c r="I30" s="743"/>
    </row>
    <row r="31" spans="1:7" ht="12.75">
      <c r="A31" s="188" t="s">
        <v>11</v>
      </c>
      <c r="C31" s="188"/>
      <c r="D31" s="188"/>
      <c r="G31" s="190" t="s">
        <v>80</v>
      </c>
    </row>
  </sheetData>
  <sheetProtection/>
  <mergeCells count="18">
    <mergeCell ref="G30:I30"/>
    <mergeCell ref="E10:E12"/>
    <mergeCell ref="F10:F12"/>
    <mergeCell ref="C14:C21"/>
    <mergeCell ref="G29:I29"/>
    <mergeCell ref="G28:I28"/>
    <mergeCell ref="I9:I12"/>
    <mergeCell ref="E9:G9"/>
    <mergeCell ref="D9:D12"/>
    <mergeCell ref="A2:I2"/>
    <mergeCell ref="A3:I3"/>
    <mergeCell ref="A5:I5"/>
    <mergeCell ref="H1:I1"/>
    <mergeCell ref="A9:A12"/>
    <mergeCell ref="G10:G12"/>
    <mergeCell ref="H9:H12"/>
    <mergeCell ref="B9:B12"/>
    <mergeCell ref="C9:C12"/>
  </mergeCells>
  <printOptions horizontalCentered="1"/>
  <pageMargins left="0.7086614173228347" right="0.25" top="0.9" bottom="0"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J23"/>
  <sheetViews>
    <sheetView view="pageBreakPreview" zoomScale="110" zoomScaleSheetLayoutView="110" zoomScalePageLayoutView="0" workbookViewId="0" topLeftCell="A1">
      <selection activeCell="J11" sqref="J11"/>
    </sheetView>
  </sheetViews>
  <sheetFormatPr defaultColWidth="9.140625" defaultRowHeight="12.75"/>
  <cols>
    <col min="1" max="1" width="5.57421875" style="0" customWidth="1"/>
    <col min="2" max="2" width="12.8515625" style="0" customWidth="1"/>
    <col min="6" max="6" width="11.57421875" style="0" customWidth="1"/>
    <col min="7" max="7" width="10.421875" style="0" customWidth="1"/>
    <col min="8" max="8" width="17.140625" style="0" customWidth="1"/>
    <col min="9" max="9" width="10.421875" style="0" customWidth="1"/>
    <col min="10" max="10" width="15.8515625" style="0" customWidth="1"/>
  </cols>
  <sheetData>
    <row r="1" ht="12.75">
      <c r="J1" s="216" t="s">
        <v>705</v>
      </c>
    </row>
    <row r="2" spans="1:10" ht="18">
      <c r="A2" s="739" t="s">
        <v>0</v>
      </c>
      <c r="B2" s="739"/>
      <c r="C2" s="739"/>
      <c r="D2" s="739"/>
      <c r="E2" s="739"/>
      <c r="F2" s="739"/>
      <c r="G2" s="739"/>
      <c r="H2" s="739"/>
      <c r="I2" s="739"/>
      <c r="J2" s="739"/>
    </row>
    <row r="3" spans="1:10" ht="21">
      <c r="A3" s="740" t="s">
        <v>854</v>
      </c>
      <c r="B3" s="740"/>
      <c r="C3" s="740"/>
      <c r="D3" s="740"/>
      <c r="E3" s="740"/>
      <c r="F3" s="740"/>
      <c r="G3" s="740"/>
      <c r="H3" s="740"/>
      <c r="I3" s="740"/>
      <c r="J3" s="740"/>
    </row>
    <row r="4" spans="1:9" ht="15">
      <c r="A4" s="183"/>
      <c r="B4" s="183"/>
      <c r="C4" s="183"/>
      <c r="D4" s="183"/>
      <c r="E4" s="183"/>
      <c r="F4" s="183"/>
      <c r="G4" s="183"/>
      <c r="H4" s="183"/>
      <c r="I4" s="183"/>
    </row>
    <row r="5" spans="1:10" ht="18">
      <c r="A5" s="739" t="s">
        <v>704</v>
      </c>
      <c r="B5" s="739"/>
      <c r="C5" s="739"/>
      <c r="D5" s="739"/>
      <c r="E5" s="739"/>
      <c r="F5" s="739"/>
      <c r="G5" s="739"/>
      <c r="H5" s="739"/>
      <c r="I5" s="739"/>
      <c r="J5" s="739"/>
    </row>
    <row r="6" spans="1:10" ht="15">
      <c r="A6" s="184" t="s">
        <v>515</v>
      </c>
      <c r="B6" s="184"/>
      <c r="C6" s="184"/>
      <c r="D6" s="184"/>
      <c r="E6" s="184"/>
      <c r="F6" s="184"/>
      <c r="G6" s="184"/>
      <c r="H6" s="742" t="s">
        <v>856</v>
      </c>
      <c r="I6" s="742"/>
      <c r="J6" s="742"/>
    </row>
    <row r="7" spans="1:10" s="270" customFormat="1" ht="17.25" customHeight="1">
      <c r="A7" s="848" t="s">
        <v>2</v>
      </c>
      <c r="B7" s="848" t="s">
        <v>395</v>
      </c>
      <c r="C7" s="653" t="s">
        <v>396</v>
      </c>
      <c r="D7" s="653"/>
      <c r="E7" s="653"/>
      <c r="F7" s="849" t="s">
        <v>399</v>
      </c>
      <c r="G7" s="850"/>
      <c r="H7" s="850"/>
      <c r="I7" s="851"/>
      <c r="J7" s="846" t="s">
        <v>671</v>
      </c>
    </row>
    <row r="8" spans="1:10" s="270" customFormat="1" ht="60.75" customHeight="1">
      <c r="A8" s="848"/>
      <c r="B8" s="848"/>
      <c r="C8" s="257" t="s">
        <v>97</v>
      </c>
      <c r="D8" s="257" t="s">
        <v>397</v>
      </c>
      <c r="E8" s="257" t="s">
        <v>398</v>
      </c>
      <c r="F8" s="357" t="s">
        <v>400</v>
      </c>
      <c r="G8" s="357" t="s">
        <v>401</v>
      </c>
      <c r="H8" s="357" t="s">
        <v>402</v>
      </c>
      <c r="I8" s="357" t="s">
        <v>44</v>
      </c>
      <c r="J8" s="847"/>
    </row>
    <row r="9" spans="1:10" s="413" customFormat="1" ht="15">
      <c r="A9" s="458" t="s">
        <v>263</v>
      </c>
      <c r="B9" s="459" t="s">
        <v>264</v>
      </c>
      <c r="C9" s="458" t="s">
        <v>265</v>
      </c>
      <c r="D9" s="458" t="s">
        <v>266</v>
      </c>
      <c r="E9" s="459" t="s">
        <v>267</v>
      </c>
      <c r="F9" s="458" t="s">
        <v>268</v>
      </c>
      <c r="G9" s="458" t="s">
        <v>269</v>
      </c>
      <c r="H9" s="459" t="s">
        <v>270</v>
      </c>
      <c r="I9" s="458" t="s">
        <v>289</v>
      </c>
      <c r="J9" s="458" t="s">
        <v>290</v>
      </c>
    </row>
    <row r="10" spans="1:10" ht="15">
      <c r="A10" s="454">
        <v>1</v>
      </c>
      <c r="B10" s="19">
        <v>9</v>
      </c>
      <c r="C10" s="456">
        <v>6</v>
      </c>
      <c r="D10" s="457">
        <v>2</v>
      </c>
      <c r="E10" s="457">
        <v>1</v>
      </c>
      <c r="F10" s="457">
        <v>2</v>
      </c>
      <c r="G10" s="457">
        <v>6</v>
      </c>
      <c r="H10" s="457">
        <v>0</v>
      </c>
      <c r="I10" s="457">
        <v>1</v>
      </c>
      <c r="J10" s="460">
        <v>15.7</v>
      </c>
    </row>
    <row r="11" spans="1:10" ht="12.75">
      <c r="A11" s="3" t="s">
        <v>536</v>
      </c>
      <c r="B11" s="455">
        <v>9</v>
      </c>
      <c r="C11" s="27">
        <f aca="true" t="shared" si="0" ref="C11:J11">SUM(C10:C10)</f>
        <v>6</v>
      </c>
      <c r="D11" s="27">
        <f t="shared" si="0"/>
        <v>2</v>
      </c>
      <c r="E11" s="27">
        <f t="shared" si="0"/>
        <v>1</v>
      </c>
      <c r="F11" s="27">
        <f t="shared" si="0"/>
        <v>2</v>
      </c>
      <c r="G11" s="27">
        <f t="shared" si="0"/>
        <v>6</v>
      </c>
      <c r="H11" s="27">
        <f t="shared" si="0"/>
        <v>0</v>
      </c>
      <c r="I11" s="27">
        <f t="shared" si="0"/>
        <v>1</v>
      </c>
      <c r="J11" s="369">
        <f t="shared" si="0"/>
        <v>15.7</v>
      </c>
    </row>
    <row r="12" spans="1:10" ht="12.75">
      <c r="A12" s="12"/>
      <c r="B12" s="28"/>
      <c r="C12" s="28"/>
      <c r="D12" s="28"/>
      <c r="E12" s="28"/>
      <c r="F12" s="28"/>
      <c r="G12" s="28"/>
      <c r="H12" s="28"/>
      <c r="I12" s="28"/>
      <c r="J12" s="453"/>
    </row>
    <row r="13" spans="1:10" ht="12.75">
      <c r="A13" s="12" t="s">
        <v>559</v>
      </c>
      <c r="B13" s="461" t="s">
        <v>672</v>
      </c>
      <c r="C13" s="28"/>
      <c r="D13" s="28"/>
      <c r="E13" s="28"/>
      <c r="F13" s="28"/>
      <c r="G13" s="28"/>
      <c r="H13" s="28"/>
      <c r="I13" s="28"/>
      <c r="J13" s="453"/>
    </row>
    <row r="14" spans="1:10" ht="12.75">
      <c r="A14" s="462">
        <v>1</v>
      </c>
      <c r="B14" s="21" t="s">
        <v>665</v>
      </c>
      <c r="C14" s="28"/>
      <c r="D14" s="28"/>
      <c r="E14" s="28"/>
      <c r="F14" s="28"/>
      <c r="G14" s="28"/>
      <c r="H14" s="28"/>
      <c r="I14" s="28"/>
      <c r="J14" s="453"/>
    </row>
    <row r="15" spans="1:10" ht="12.75">
      <c r="A15" s="462">
        <v>2</v>
      </c>
      <c r="B15" s="21" t="s">
        <v>666</v>
      </c>
      <c r="C15" s="28"/>
      <c r="D15" s="28"/>
      <c r="E15" s="28"/>
      <c r="F15" s="28"/>
      <c r="G15" s="28"/>
      <c r="H15" s="28"/>
      <c r="I15" s="28"/>
      <c r="J15" s="453"/>
    </row>
    <row r="16" spans="1:10" ht="12.75">
      <c r="A16" s="462">
        <v>3</v>
      </c>
      <c r="B16" s="21" t="s">
        <v>667</v>
      </c>
      <c r="C16" s="28"/>
      <c r="D16" s="28"/>
      <c r="E16" s="28"/>
      <c r="F16" s="28"/>
      <c r="G16" s="28"/>
      <c r="H16" s="28"/>
      <c r="I16" s="28"/>
      <c r="J16" s="453"/>
    </row>
    <row r="17" spans="1:10" ht="12.75">
      <c r="A17" s="462">
        <v>4</v>
      </c>
      <c r="B17" s="21" t="s">
        <v>669</v>
      </c>
      <c r="C17" s="28"/>
      <c r="D17" s="28"/>
      <c r="E17" s="28"/>
      <c r="F17" s="28"/>
      <c r="G17" s="28"/>
      <c r="H17" s="28"/>
      <c r="I17" s="28"/>
      <c r="J17" s="453"/>
    </row>
    <row r="18" spans="1:10" ht="12.75">
      <c r="A18" s="462">
        <v>5</v>
      </c>
      <c r="B18" s="21" t="s">
        <v>670</v>
      </c>
      <c r="C18" s="28"/>
      <c r="D18" s="28"/>
      <c r="E18" s="28"/>
      <c r="F18" s="28"/>
      <c r="G18" s="28"/>
      <c r="H18" s="28"/>
      <c r="I18" s="28"/>
      <c r="J18" s="453"/>
    </row>
    <row r="19" spans="1:10" ht="12.75">
      <c r="A19" s="462">
        <v>6</v>
      </c>
      <c r="B19" s="21" t="s">
        <v>668</v>
      </c>
      <c r="C19" s="28"/>
      <c r="D19" s="28"/>
      <c r="E19" s="28"/>
      <c r="F19" s="28"/>
      <c r="G19" s="28"/>
      <c r="H19" s="28"/>
      <c r="I19" s="28"/>
      <c r="J19" s="453"/>
    </row>
    <row r="20" spans="1:10" ht="12.75" customHeight="1">
      <c r="A20" s="188"/>
      <c r="C20" s="188"/>
      <c r="D20" s="188"/>
      <c r="I20" s="845"/>
      <c r="J20" s="845"/>
    </row>
    <row r="21" spans="1:10" ht="12.75" customHeight="1">
      <c r="A21" s="188"/>
      <c r="C21" s="188"/>
      <c r="D21" s="188"/>
      <c r="I21" s="845" t="s">
        <v>819</v>
      </c>
      <c r="J21" s="845"/>
    </row>
    <row r="22" spans="1:10" ht="12.75" customHeight="1">
      <c r="A22" s="188"/>
      <c r="B22" s="188"/>
      <c r="C22" s="188"/>
      <c r="D22" s="188"/>
      <c r="I22" s="845" t="s">
        <v>488</v>
      </c>
      <c r="J22" s="845"/>
    </row>
    <row r="23" spans="1:10" ht="12.75">
      <c r="A23" s="188" t="s">
        <v>11</v>
      </c>
      <c r="C23" s="188"/>
      <c r="D23" s="188"/>
      <c r="I23" s="416" t="s">
        <v>80</v>
      </c>
      <c r="J23" s="413"/>
    </row>
  </sheetData>
  <sheetProtection/>
  <mergeCells count="12">
    <mergeCell ref="F7:I7"/>
    <mergeCell ref="H6:J6"/>
    <mergeCell ref="I22:J22"/>
    <mergeCell ref="J7:J8"/>
    <mergeCell ref="I20:J20"/>
    <mergeCell ref="I21:J21"/>
    <mergeCell ref="A5:J5"/>
    <mergeCell ref="A2:J2"/>
    <mergeCell ref="A3:J3"/>
    <mergeCell ref="A7:A8"/>
    <mergeCell ref="B7:B8"/>
    <mergeCell ref="C7:E7"/>
  </mergeCells>
  <printOptions horizontalCentered="1"/>
  <pageMargins left="0.7086614173228347" right="0.21" top="0.95" bottom="0" header="0.85" footer="0.31496062992125984"/>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I34"/>
  <sheetViews>
    <sheetView view="pageBreakPreview" zoomScale="90" zoomScaleSheetLayoutView="90" zoomScalePageLayoutView="0" workbookViewId="0" topLeftCell="A4">
      <selection activeCell="G27" sqref="G27"/>
    </sheetView>
  </sheetViews>
  <sheetFormatPr defaultColWidth="9.140625" defaultRowHeight="12.75"/>
  <cols>
    <col min="1" max="1" width="5.28125" style="188" customWidth="1"/>
    <col min="2" max="2" width="8.57421875" style="188" customWidth="1"/>
    <col min="3" max="3" width="39.421875" style="188" customWidth="1"/>
    <col min="4" max="7" width="16.7109375" style="188" customWidth="1"/>
    <col min="8" max="8" width="23.57421875" style="188" customWidth="1"/>
    <col min="9" max="16384" width="9.140625" style="188" customWidth="1"/>
  </cols>
  <sheetData>
    <row r="1" spans="1:8" ht="12.75">
      <c r="A1" s="188" t="s">
        <v>10</v>
      </c>
      <c r="H1" s="202" t="s">
        <v>706</v>
      </c>
    </row>
    <row r="2" spans="1:8" s="191" customFormat="1" ht="15.75">
      <c r="A2" s="791" t="s">
        <v>0</v>
      </c>
      <c r="B2" s="791"/>
      <c r="C2" s="791"/>
      <c r="D2" s="791"/>
      <c r="E2" s="791"/>
      <c r="F2" s="791"/>
      <c r="G2" s="791"/>
      <c r="H2" s="791"/>
    </row>
    <row r="3" spans="1:8" s="191" customFormat="1" ht="20.25" customHeight="1">
      <c r="A3" s="792" t="s">
        <v>854</v>
      </c>
      <c r="B3" s="792"/>
      <c r="C3" s="792"/>
      <c r="D3" s="792"/>
      <c r="E3" s="792"/>
      <c r="F3" s="792"/>
      <c r="G3" s="792"/>
      <c r="H3" s="792"/>
    </row>
    <row r="5" spans="1:8" s="191" customFormat="1" ht="15.75">
      <c r="A5" s="790" t="s">
        <v>707</v>
      </c>
      <c r="B5" s="790"/>
      <c r="C5" s="790"/>
      <c r="D5" s="790"/>
      <c r="E5" s="790"/>
      <c r="F5" s="790"/>
      <c r="G5" s="790"/>
      <c r="H5" s="852"/>
    </row>
    <row r="7" spans="2:9" ht="12.75">
      <c r="B7" s="193" t="s">
        <v>475</v>
      </c>
      <c r="C7" s="193"/>
      <c r="D7" s="193"/>
      <c r="E7" s="193"/>
      <c r="F7" s="193"/>
      <c r="G7" s="193"/>
      <c r="H7" s="194"/>
      <c r="I7" s="194"/>
    </row>
    <row r="8" spans="1:9" s="194" customFormat="1" ht="12.75">
      <c r="A8" s="188"/>
      <c r="B8" s="188"/>
      <c r="C8" s="188"/>
      <c r="D8" s="188"/>
      <c r="E8" s="188"/>
      <c r="F8" s="188"/>
      <c r="G8" s="188"/>
      <c r="H8" s="113"/>
      <c r="I8" s="113"/>
    </row>
    <row r="9" spans="1:8" s="194" customFormat="1" ht="27" customHeight="1">
      <c r="A9" s="195"/>
      <c r="B9" s="853" t="s">
        <v>283</v>
      </c>
      <c r="C9" s="855" t="s">
        <v>284</v>
      </c>
      <c r="D9" s="855" t="s">
        <v>285</v>
      </c>
      <c r="E9" s="855"/>
      <c r="F9" s="855"/>
      <c r="G9" s="855"/>
      <c r="H9" s="855" t="s">
        <v>74</v>
      </c>
    </row>
    <row r="10" spans="1:8" s="194" customFormat="1" ht="19.5" customHeight="1">
      <c r="A10" s="196"/>
      <c r="B10" s="854"/>
      <c r="C10" s="855"/>
      <c r="D10" s="396" t="s">
        <v>286</v>
      </c>
      <c r="E10" s="396" t="s">
        <v>287</v>
      </c>
      <c r="F10" s="396" t="s">
        <v>288</v>
      </c>
      <c r="G10" s="396" t="s">
        <v>15</v>
      </c>
      <c r="H10" s="855"/>
    </row>
    <row r="11" spans="1:8" s="194" customFormat="1" ht="15">
      <c r="A11" s="196"/>
      <c r="B11" s="203" t="s">
        <v>263</v>
      </c>
      <c r="C11" s="397" t="s">
        <v>264</v>
      </c>
      <c r="D11" s="397" t="s">
        <v>265</v>
      </c>
      <c r="E11" s="397" t="s">
        <v>266</v>
      </c>
      <c r="F11" s="397" t="s">
        <v>267</v>
      </c>
      <c r="G11" s="397" t="s">
        <v>268</v>
      </c>
      <c r="H11" s="397">
        <v>7</v>
      </c>
    </row>
    <row r="12" spans="2:8" s="204" customFormat="1" ht="15" customHeight="1">
      <c r="B12" s="205" t="s">
        <v>26</v>
      </c>
      <c r="C12" s="856" t="s">
        <v>292</v>
      </c>
      <c r="D12" s="856"/>
      <c r="E12" s="856"/>
      <c r="F12" s="856"/>
      <c r="G12" s="856"/>
      <c r="H12" s="856"/>
    </row>
    <row r="13" spans="2:8" s="207" customFormat="1" ht="12.75">
      <c r="B13" s="206"/>
      <c r="C13" s="507" t="s">
        <v>521</v>
      </c>
      <c r="D13" s="366">
        <v>1</v>
      </c>
      <c r="E13" s="366">
        <v>0</v>
      </c>
      <c r="F13" s="366">
        <v>0</v>
      </c>
      <c r="G13" s="366">
        <f>D13+E13+F13</f>
        <v>1</v>
      </c>
      <c r="H13" s="206"/>
    </row>
    <row r="14" spans="1:8" ht="14.25">
      <c r="A14" s="199"/>
      <c r="B14" s="137"/>
      <c r="C14" s="508" t="s">
        <v>522</v>
      </c>
      <c r="D14" s="368">
        <v>0</v>
      </c>
      <c r="E14" s="368">
        <v>0</v>
      </c>
      <c r="F14" s="368">
        <v>0</v>
      </c>
      <c r="G14" s="366">
        <f aca="true" t="shared" si="0" ref="G14:G21">D14+E14+F14</f>
        <v>0</v>
      </c>
      <c r="H14" s="137"/>
    </row>
    <row r="15" spans="2:8" ht="12.75">
      <c r="B15" s="198"/>
      <c r="C15" s="508" t="s">
        <v>523</v>
      </c>
      <c r="D15" s="368">
        <v>0</v>
      </c>
      <c r="E15" s="368">
        <v>8</v>
      </c>
      <c r="F15" s="368">
        <v>0</v>
      </c>
      <c r="G15" s="366">
        <f t="shared" si="0"/>
        <v>8</v>
      </c>
      <c r="H15" s="137"/>
    </row>
    <row r="16" spans="2:8" ht="12.75">
      <c r="B16" s="198"/>
      <c r="C16" s="508" t="s">
        <v>524</v>
      </c>
      <c r="D16" s="368">
        <v>0</v>
      </c>
      <c r="E16" s="368">
        <v>0</v>
      </c>
      <c r="F16" s="368">
        <v>58</v>
      </c>
      <c r="G16" s="366">
        <f t="shared" si="0"/>
        <v>58</v>
      </c>
      <c r="H16" s="137"/>
    </row>
    <row r="17" spans="2:8" ht="12.75">
      <c r="B17" s="198"/>
      <c r="C17" s="508" t="s">
        <v>525</v>
      </c>
      <c r="D17" s="368">
        <v>0</v>
      </c>
      <c r="E17" s="368">
        <v>8</v>
      </c>
      <c r="F17" s="368">
        <v>58</v>
      </c>
      <c r="G17" s="366">
        <f t="shared" si="0"/>
        <v>66</v>
      </c>
      <c r="H17" s="137"/>
    </row>
    <row r="18" spans="2:8" ht="12.75">
      <c r="B18" s="198"/>
      <c r="C18" s="508" t="s">
        <v>529</v>
      </c>
      <c r="D18" s="368">
        <v>0</v>
      </c>
      <c r="E18" s="368">
        <v>8</v>
      </c>
      <c r="F18" s="368">
        <v>0</v>
      </c>
      <c r="G18" s="366">
        <f t="shared" si="0"/>
        <v>8</v>
      </c>
      <c r="H18" s="137"/>
    </row>
    <row r="19" spans="2:8" s="133" customFormat="1" ht="12.75">
      <c r="B19" s="137"/>
      <c r="C19" s="135" t="s">
        <v>526</v>
      </c>
      <c r="D19" s="368">
        <v>0</v>
      </c>
      <c r="E19" s="368">
        <v>8</v>
      </c>
      <c r="F19" s="368">
        <v>18</v>
      </c>
      <c r="G19" s="366">
        <f t="shared" si="0"/>
        <v>26</v>
      </c>
      <c r="H19" s="135"/>
    </row>
    <row r="20" spans="2:8" s="133" customFormat="1" ht="12.75">
      <c r="B20" s="137"/>
      <c r="C20" s="135" t="s">
        <v>527</v>
      </c>
      <c r="D20" s="368">
        <v>3</v>
      </c>
      <c r="E20" s="368">
        <v>8</v>
      </c>
      <c r="F20" s="368">
        <v>58</v>
      </c>
      <c r="G20" s="366">
        <f t="shared" si="0"/>
        <v>69</v>
      </c>
      <c r="H20" s="135"/>
    </row>
    <row r="21" spans="2:8" s="133" customFormat="1" ht="12.75">
      <c r="B21" s="137"/>
      <c r="C21" s="135" t="s">
        <v>528</v>
      </c>
      <c r="D21" s="368">
        <v>2</v>
      </c>
      <c r="E21" s="368">
        <v>8</v>
      </c>
      <c r="F21" s="368">
        <v>58</v>
      </c>
      <c r="G21" s="366">
        <f t="shared" si="0"/>
        <v>68</v>
      </c>
      <c r="H21" s="135"/>
    </row>
    <row r="22" spans="2:8" s="133" customFormat="1" ht="21.75" customHeight="1">
      <c r="B22" s="205" t="s">
        <v>30</v>
      </c>
      <c r="C22" s="856" t="s">
        <v>949</v>
      </c>
      <c r="D22" s="856"/>
      <c r="E22" s="856"/>
      <c r="F22" s="856"/>
      <c r="G22" s="856"/>
      <c r="H22" s="856"/>
    </row>
    <row r="23" spans="1:8" s="133" customFormat="1" ht="12.75">
      <c r="A23" s="201" t="s">
        <v>282</v>
      </c>
      <c r="B23" s="200"/>
      <c r="C23" s="507" t="s">
        <v>761</v>
      </c>
      <c r="D23" s="200">
        <v>1</v>
      </c>
      <c r="E23" s="200">
        <v>0</v>
      </c>
      <c r="F23" s="200">
        <v>0</v>
      </c>
      <c r="G23" s="200">
        <f>D23+E23+F23</f>
        <v>1</v>
      </c>
      <c r="H23" s="135"/>
    </row>
    <row r="24" spans="1:8" s="133" customFormat="1" ht="12.75">
      <c r="A24" s="201"/>
      <c r="B24" s="200"/>
      <c r="C24" s="135" t="s">
        <v>519</v>
      </c>
      <c r="D24" s="137">
        <v>1</v>
      </c>
      <c r="E24" s="137">
        <v>0</v>
      </c>
      <c r="F24" s="137">
        <v>0</v>
      </c>
      <c r="G24" s="200">
        <f>D24+E24+F24</f>
        <v>1</v>
      </c>
      <c r="H24" s="135"/>
    </row>
    <row r="25" spans="2:8" ht="12.75">
      <c r="B25" s="137"/>
      <c r="C25" s="508" t="s">
        <v>520</v>
      </c>
      <c r="D25" s="137">
        <v>2</v>
      </c>
      <c r="E25" s="137">
        <v>8</v>
      </c>
      <c r="F25" s="137">
        <v>19</v>
      </c>
      <c r="G25" s="200">
        <f>D25+E25+F25</f>
        <v>29</v>
      </c>
      <c r="H25" s="137"/>
    </row>
    <row r="26" spans="2:8" ht="12.75">
      <c r="B26" s="137"/>
      <c r="C26" s="135" t="s">
        <v>518</v>
      </c>
      <c r="D26" s="137">
        <v>0</v>
      </c>
      <c r="E26" s="137">
        <v>0</v>
      </c>
      <c r="F26" s="137">
        <v>0</v>
      </c>
      <c r="G26" s="200">
        <f>D26+E26+F26</f>
        <v>0</v>
      </c>
      <c r="H26" s="137"/>
    </row>
    <row r="27" spans="2:8" ht="12.75">
      <c r="B27" s="137"/>
      <c r="C27" s="135" t="s">
        <v>812</v>
      </c>
      <c r="D27" s="137">
        <v>1</v>
      </c>
      <c r="E27" s="137">
        <v>0</v>
      </c>
      <c r="F27" s="137">
        <v>0</v>
      </c>
      <c r="G27" s="200">
        <f>D27+E27+F27</f>
        <v>1</v>
      </c>
      <c r="H27" s="137"/>
    </row>
    <row r="28" spans="2:8" ht="12.75">
      <c r="B28" s="194"/>
      <c r="C28" s="194"/>
      <c r="D28" s="194"/>
      <c r="E28" s="194"/>
      <c r="F28" s="194"/>
      <c r="G28" s="367"/>
      <c r="H28" s="194"/>
    </row>
    <row r="29" spans="2:8" ht="12.75">
      <c r="B29" s="194"/>
      <c r="C29" s="194"/>
      <c r="D29" s="194"/>
      <c r="E29" s="194"/>
      <c r="F29" s="194"/>
      <c r="G29" s="367"/>
      <c r="H29" s="194"/>
    </row>
    <row r="30" spans="2:8" ht="12.75">
      <c r="B30" s="194"/>
      <c r="C30" s="194"/>
      <c r="D30" s="194"/>
      <c r="E30" s="194"/>
      <c r="F30" s="194"/>
      <c r="G30" s="367"/>
      <c r="H30" s="194"/>
    </row>
    <row r="31" spans="7:8" ht="12.75" customHeight="1">
      <c r="G31" s="743"/>
      <c r="H31" s="743"/>
    </row>
    <row r="32" spans="7:8" ht="12.75" customHeight="1">
      <c r="G32" s="743" t="s">
        <v>819</v>
      </c>
      <c r="H32" s="743"/>
    </row>
    <row r="33" spans="7:8" ht="12.75" customHeight="1">
      <c r="G33" s="743" t="s">
        <v>487</v>
      </c>
      <c r="H33" s="743"/>
    </row>
    <row r="34" spans="2:8" ht="12.75">
      <c r="B34" s="188" t="s">
        <v>11</v>
      </c>
      <c r="G34" s="738" t="s">
        <v>80</v>
      </c>
      <c r="H34" s="738"/>
    </row>
  </sheetData>
  <sheetProtection/>
  <mergeCells count="13">
    <mergeCell ref="G31:H31"/>
    <mergeCell ref="G32:H32"/>
    <mergeCell ref="G33:H33"/>
    <mergeCell ref="G34:H34"/>
    <mergeCell ref="A2:H2"/>
    <mergeCell ref="A3:H3"/>
    <mergeCell ref="A5:H5"/>
    <mergeCell ref="B9:B10"/>
    <mergeCell ref="C9:C10"/>
    <mergeCell ref="D9:G9"/>
    <mergeCell ref="H9:H10"/>
    <mergeCell ref="C12:H12"/>
    <mergeCell ref="C22:H22"/>
  </mergeCells>
  <printOptions horizontalCentered="1"/>
  <pageMargins left="0.7086614173228347" right="0.25" top="1.12" bottom="0" header="0.63" footer="0.31496062992125984"/>
  <pageSetup fitToHeight="1" fitToWidth="1" horizontalDpi="600" verticalDpi="600" orientation="landscape" paperSize="9" scale="97" r:id="rId1"/>
</worksheet>
</file>

<file path=xl/worksheets/sheet33.xml><?xml version="1.0" encoding="utf-8"?>
<worksheet xmlns="http://schemas.openxmlformats.org/spreadsheetml/2006/main" xmlns:r="http://schemas.openxmlformats.org/officeDocument/2006/relationships">
  <dimension ref="A1:H26"/>
  <sheetViews>
    <sheetView zoomScalePageLayoutView="0" workbookViewId="0" topLeftCell="A1">
      <selection activeCell="B9" sqref="B9"/>
    </sheetView>
  </sheetViews>
  <sheetFormatPr defaultColWidth="9.140625" defaultRowHeight="12.75"/>
  <cols>
    <col min="1" max="1" width="5.7109375" style="0" customWidth="1"/>
    <col min="2" max="2" width="11.421875" style="0" customWidth="1"/>
    <col min="3" max="3" width="14.140625" style="0" customWidth="1"/>
    <col min="4" max="4" width="21.7109375" style="0" customWidth="1"/>
    <col min="5" max="5" width="19.7109375" style="0" customWidth="1"/>
    <col min="6" max="6" width="23.28125" style="0" customWidth="1"/>
    <col min="7" max="7" width="26.28125" style="0" customWidth="1"/>
    <col min="8" max="8" width="17.7109375" style="0" customWidth="1"/>
  </cols>
  <sheetData>
    <row r="1" ht="15">
      <c r="H1" s="181" t="s">
        <v>775</v>
      </c>
    </row>
    <row r="2" spans="1:7" ht="18">
      <c r="A2" s="739" t="s">
        <v>0</v>
      </c>
      <c r="B2" s="739"/>
      <c r="C2" s="739"/>
      <c r="D2" s="739"/>
      <c r="E2" s="739"/>
      <c r="F2" s="739"/>
      <c r="G2" s="739"/>
    </row>
    <row r="3" spans="1:7" ht="21">
      <c r="A3" s="740" t="s">
        <v>854</v>
      </c>
      <c r="B3" s="740"/>
      <c r="C3" s="740"/>
      <c r="D3" s="740"/>
      <c r="E3" s="740"/>
      <c r="F3" s="740"/>
      <c r="G3" s="740"/>
    </row>
    <row r="4" spans="1:2" ht="15">
      <c r="A4" s="183"/>
      <c r="B4" s="183"/>
    </row>
    <row r="5" spans="1:7" ht="18">
      <c r="A5" s="741" t="s">
        <v>776</v>
      </c>
      <c r="B5" s="741"/>
      <c r="C5" s="741"/>
      <c r="D5" s="741"/>
      <c r="E5" s="741"/>
      <c r="F5" s="741"/>
      <c r="G5" s="741"/>
    </row>
    <row r="6" spans="1:7" ht="12" customHeight="1">
      <c r="A6" s="516"/>
      <c r="B6" s="516"/>
      <c r="C6" s="516"/>
      <c r="D6" s="516"/>
      <c r="E6" s="516"/>
      <c r="F6" s="516"/>
      <c r="G6" s="516"/>
    </row>
    <row r="7" spans="1:2" ht="15">
      <c r="A7" s="184" t="s">
        <v>515</v>
      </c>
      <c r="B7" s="184"/>
    </row>
    <row r="8" spans="1:8" ht="15">
      <c r="A8" s="184"/>
      <c r="B8" s="184"/>
      <c r="G8" s="754" t="s">
        <v>856</v>
      </c>
      <c r="H8" s="754"/>
    </row>
    <row r="9" spans="1:8" ht="60">
      <c r="A9" s="265" t="s">
        <v>2</v>
      </c>
      <c r="B9" s="265" t="s">
        <v>3</v>
      </c>
      <c r="C9" s="266" t="s">
        <v>777</v>
      </c>
      <c r="D9" s="266" t="s">
        <v>778</v>
      </c>
      <c r="E9" s="266" t="s">
        <v>779</v>
      </c>
      <c r="F9" s="266" t="s">
        <v>780</v>
      </c>
      <c r="G9" s="522" t="s">
        <v>950</v>
      </c>
      <c r="H9" s="522" t="s">
        <v>847</v>
      </c>
    </row>
    <row r="10" spans="1:8" ht="15">
      <c r="A10" s="185" t="s">
        <v>263</v>
      </c>
      <c r="B10" s="185" t="s">
        <v>264</v>
      </c>
      <c r="C10" s="185" t="s">
        <v>265</v>
      </c>
      <c r="D10" s="185" t="s">
        <v>266</v>
      </c>
      <c r="E10" s="185" t="s">
        <v>267</v>
      </c>
      <c r="F10" s="185" t="s">
        <v>268</v>
      </c>
      <c r="G10" s="185" t="s">
        <v>269</v>
      </c>
      <c r="H10" s="185">
        <v>8</v>
      </c>
    </row>
    <row r="11" spans="1:8" ht="16.5" customHeight="1">
      <c r="A11" s="271">
        <v>1</v>
      </c>
      <c r="B11" s="276" t="s">
        <v>476</v>
      </c>
      <c r="C11" s="523">
        <f>'AT-10B'!D14</f>
        <v>917</v>
      </c>
      <c r="D11" s="523">
        <v>714</v>
      </c>
      <c r="E11" s="523">
        <v>78</v>
      </c>
      <c r="F11" s="523">
        <v>21</v>
      </c>
      <c r="G11" s="523">
        <v>100</v>
      </c>
      <c r="H11" s="9"/>
    </row>
    <row r="12" spans="1:8" ht="16.5" customHeight="1">
      <c r="A12" s="271">
        <v>2</v>
      </c>
      <c r="B12" s="276" t="s">
        <v>477</v>
      </c>
      <c r="C12" s="523">
        <f>'AT-10B'!D15</f>
        <v>875</v>
      </c>
      <c r="D12" s="523">
        <v>660</v>
      </c>
      <c r="E12" s="523">
        <v>28</v>
      </c>
      <c r="F12" s="523">
        <v>17</v>
      </c>
      <c r="G12" s="268">
        <v>100</v>
      </c>
      <c r="H12" s="9"/>
    </row>
    <row r="13" spans="1:8" ht="16.5" customHeight="1">
      <c r="A13" s="271">
        <v>3</v>
      </c>
      <c r="B13" s="276" t="s">
        <v>478</v>
      </c>
      <c r="C13" s="523">
        <f>'AT-10B'!D16</f>
        <v>668</v>
      </c>
      <c r="D13" s="523">
        <v>540</v>
      </c>
      <c r="E13" s="523">
        <v>22</v>
      </c>
      <c r="F13" s="523">
        <v>0</v>
      </c>
      <c r="G13" s="523">
        <v>50</v>
      </c>
      <c r="H13" s="9"/>
    </row>
    <row r="14" spans="1:8" ht="16.5" customHeight="1">
      <c r="A14" s="271">
        <v>4</v>
      </c>
      <c r="B14" s="276" t="s">
        <v>479</v>
      </c>
      <c r="C14" s="523">
        <f>'AT-10B'!D17</f>
        <v>810</v>
      </c>
      <c r="D14" s="523">
        <v>700</v>
      </c>
      <c r="E14" s="523">
        <v>64</v>
      </c>
      <c r="F14" s="523">
        <v>100</v>
      </c>
      <c r="G14" s="523">
        <v>50</v>
      </c>
      <c r="H14" s="9"/>
    </row>
    <row r="15" spans="1:8" ht="16.5" customHeight="1">
      <c r="A15" s="271">
        <v>5</v>
      </c>
      <c r="B15" s="276" t="s">
        <v>480</v>
      </c>
      <c r="C15" s="523">
        <f>'AT-10B'!D18</f>
        <v>925</v>
      </c>
      <c r="D15" s="523">
        <v>900</v>
      </c>
      <c r="E15" s="523">
        <v>254</v>
      </c>
      <c r="F15" s="523">
        <v>35</v>
      </c>
      <c r="G15" s="523">
        <v>50</v>
      </c>
      <c r="H15" s="9"/>
    </row>
    <row r="16" spans="1:8" ht="16.5" customHeight="1">
      <c r="A16" s="271">
        <v>6</v>
      </c>
      <c r="B16" s="276" t="s">
        <v>481</v>
      </c>
      <c r="C16" s="523">
        <f>'AT-10B'!D19</f>
        <v>475</v>
      </c>
      <c r="D16" s="523">
        <v>264</v>
      </c>
      <c r="E16" s="523">
        <v>23</v>
      </c>
      <c r="F16" s="523">
        <v>2</v>
      </c>
      <c r="G16" s="523">
        <v>50</v>
      </c>
      <c r="H16" s="9"/>
    </row>
    <row r="17" spans="1:8" ht="16.5" customHeight="1">
      <c r="A17" s="271">
        <v>7</v>
      </c>
      <c r="B17" s="276" t="s">
        <v>482</v>
      </c>
      <c r="C17" s="523">
        <f>'AT-10B'!D20</f>
        <v>719</v>
      </c>
      <c r="D17" s="523">
        <v>521</v>
      </c>
      <c r="E17" s="523">
        <v>10</v>
      </c>
      <c r="F17" s="523">
        <v>0</v>
      </c>
      <c r="G17" s="523">
        <v>100</v>
      </c>
      <c r="H17" s="9"/>
    </row>
    <row r="18" spans="1:8" ht="16.5" customHeight="1">
      <c r="A18" s="271">
        <v>8</v>
      </c>
      <c r="B18" s="276" t="s">
        <v>483</v>
      </c>
      <c r="C18" s="523">
        <f>'AT-10B'!D21</f>
        <v>1140</v>
      </c>
      <c r="D18" s="523">
        <v>998</v>
      </c>
      <c r="E18" s="523">
        <v>38</v>
      </c>
      <c r="F18" s="523">
        <v>30</v>
      </c>
      <c r="G18" s="523">
        <v>100</v>
      </c>
      <c r="H18" s="9"/>
    </row>
    <row r="19" spans="1:8" ht="16.5" customHeight="1">
      <c r="A19" s="148"/>
      <c r="B19" s="276" t="s">
        <v>484</v>
      </c>
      <c r="C19" s="276">
        <f>SUM(C11:C18)</f>
        <v>6529</v>
      </c>
      <c r="D19" s="276">
        <f>SUM(D11:D18)</f>
        <v>5297</v>
      </c>
      <c r="E19" s="620">
        <f>SUM(E11:E18)</f>
        <v>517</v>
      </c>
      <c r="F19" s="620">
        <f>SUM(F11:F18)</f>
        <v>205</v>
      </c>
      <c r="G19" s="620">
        <f>SUM(G11:G18)</f>
        <v>600</v>
      </c>
      <c r="H19" s="9"/>
    </row>
    <row r="20" ht="12.75">
      <c r="A20" s="187"/>
    </row>
    <row r="23" spans="1:7" ht="12.75">
      <c r="A23" s="519"/>
      <c r="B23" s="519"/>
      <c r="C23" s="519"/>
      <c r="D23" s="519"/>
      <c r="E23" s="519"/>
      <c r="F23" s="743"/>
      <c r="G23" s="743"/>
    </row>
    <row r="24" spans="1:7" ht="12.75" customHeight="1">
      <c r="A24" s="519"/>
      <c r="B24" s="519"/>
      <c r="C24" s="519"/>
      <c r="D24" s="519"/>
      <c r="E24" s="519"/>
      <c r="F24" s="743" t="s">
        <v>819</v>
      </c>
      <c r="G24" s="743"/>
    </row>
    <row r="25" spans="1:7" ht="12.75" customHeight="1">
      <c r="A25" s="519"/>
      <c r="B25" s="519"/>
      <c r="C25" s="519"/>
      <c r="D25" s="519"/>
      <c r="E25" s="519"/>
      <c r="F25" s="743" t="s">
        <v>487</v>
      </c>
      <c r="G25" s="743"/>
    </row>
    <row r="26" spans="1:7" ht="12.75">
      <c r="A26" s="519" t="s">
        <v>11</v>
      </c>
      <c r="C26" s="519"/>
      <c r="D26" s="519"/>
      <c r="E26" s="519"/>
      <c r="F26" s="738" t="s">
        <v>80</v>
      </c>
      <c r="G26" s="738"/>
    </row>
  </sheetData>
  <sheetProtection/>
  <mergeCells count="8">
    <mergeCell ref="F25:G25"/>
    <mergeCell ref="F26:G26"/>
    <mergeCell ref="A2:G2"/>
    <mergeCell ref="A3:G3"/>
    <mergeCell ref="A5:G5"/>
    <mergeCell ref="F23:G23"/>
    <mergeCell ref="F24:G24"/>
    <mergeCell ref="G8:H8"/>
  </mergeCells>
  <printOptions/>
  <pageMargins left="0.52" right="0.2" top="0.75" bottom="0.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M25"/>
  <sheetViews>
    <sheetView zoomScalePageLayoutView="0" workbookViewId="0" topLeftCell="A1">
      <selection activeCell="G17" sqref="G17"/>
    </sheetView>
  </sheetViews>
  <sheetFormatPr defaultColWidth="9.140625" defaultRowHeight="12.75"/>
  <cols>
    <col min="1" max="1" width="6.421875" style="0" customWidth="1"/>
    <col min="2" max="2" width="10.8515625" style="0" customWidth="1"/>
    <col min="3" max="3" width="17.28125" style="0" customWidth="1"/>
    <col min="4" max="4" width="19.421875" style="0" customWidth="1"/>
    <col min="5" max="5" width="12.28125" style="0" customWidth="1"/>
    <col min="6" max="6" width="12.00390625" style="0" customWidth="1"/>
    <col min="7" max="7" width="17.7109375" style="0" customWidth="1"/>
    <col min="8" max="8" width="57.8515625" style="0" customWidth="1"/>
    <col min="9" max="9" width="0.13671875" style="0" customWidth="1"/>
  </cols>
  <sheetData>
    <row r="1" spans="1:8" ht="18">
      <c r="A1" s="739" t="s">
        <v>0</v>
      </c>
      <c r="B1" s="739"/>
      <c r="C1" s="739"/>
      <c r="D1" s="739"/>
      <c r="E1" s="739"/>
      <c r="F1" s="739"/>
      <c r="G1" s="739"/>
      <c r="H1" s="181" t="s">
        <v>810</v>
      </c>
    </row>
    <row r="2" spans="1:7" ht="21">
      <c r="A2" s="740" t="s">
        <v>854</v>
      </c>
      <c r="B2" s="740"/>
      <c r="C2" s="740"/>
      <c r="D2" s="740"/>
      <c r="E2" s="740"/>
      <c r="F2" s="740"/>
      <c r="G2" s="740"/>
    </row>
    <row r="3" spans="1:2" ht="15">
      <c r="A3" s="183"/>
      <c r="B3" s="183"/>
    </row>
    <row r="4" spans="1:7" ht="18" customHeight="1">
      <c r="A4" s="741" t="s">
        <v>855</v>
      </c>
      <c r="B4" s="741"/>
      <c r="C4" s="741"/>
      <c r="D4" s="741"/>
      <c r="E4" s="741"/>
      <c r="F4" s="741"/>
      <c r="G4" s="741"/>
    </row>
    <row r="5" spans="1:2" ht="15">
      <c r="A5" s="184" t="s">
        <v>515</v>
      </c>
      <c r="B5" s="184"/>
    </row>
    <row r="6" spans="1:8" ht="15">
      <c r="A6" s="184"/>
      <c r="B6" s="184"/>
      <c r="F6" s="742" t="s">
        <v>856</v>
      </c>
      <c r="G6" s="742"/>
      <c r="H6" s="742"/>
    </row>
    <row r="7" spans="1:9" ht="59.25" customHeight="1">
      <c r="A7" s="265" t="s">
        <v>2</v>
      </c>
      <c r="B7" s="265" t="s">
        <v>3</v>
      </c>
      <c r="C7" s="266" t="s">
        <v>848</v>
      </c>
      <c r="D7" s="266" t="s">
        <v>849</v>
      </c>
      <c r="E7" s="266" t="s">
        <v>850</v>
      </c>
      <c r="F7" s="266" t="s">
        <v>851</v>
      </c>
      <c r="G7" s="556" t="s">
        <v>852</v>
      </c>
      <c r="H7" s="522" t="s">
        <v>853</v>
      </c>
      <c r="I7" s="9"/>
    </row>
    <row r="8" spans="1:9" s="181" customFormat="1" ht="15">
      <c r="A8" s="185" t="s">
        <v>263</v>
      </c>
      <c r="B8" s="185" t="s">
        <v>264</v>
      </c>
      <c r="C8" s="185" t="s">
        <v>265</v>
      </c>
      <c r="D8" s="185" t="s">
        <v>266</v>
      </c>
      <c r="E8" s="185" t="s">
        <v>267</v>
      </c>
      <c r="F8" s="185" t="s">
        <v>268</v>
      </c>
      <c r="G8" s="555" t="s">
        <v>269</v>
      </c>
      <c r="H8" s="212">
        <v>8</v>
      </c>
      <c r="I8" s="212"/>
    </row>
    <row r="9" spans="1:9" s="181" customFormat="1" ht="15">
      <c r="A9" s="557">
        <v>1</v>
      </c>
      <c r="B9" s="276" t="s">
        <v>476</v>
      </c>
      <c r="C9" s="585">
        <f>('AT-8_Hon_CCH_Pry'!D14+'AT-8A_Hon_CCH_UPry'!D13)</f>
        <v>1792</v>
      </c>
      <c r="D9" s="585">
        <f>10127*C9/11002</f>
        <v>1649.4804580985276</v>
      </c>
      <c r="E9" s="585">
        <v>0</v>
      </c>
      <c r="F9" s="585"/>
      <c r="G9" s="585"/>
      <c r="H9" s="599" t="s">
        <v>1034</v>
      </c>
      <c r="I9" s="212"/>
    </row>
    <row r="10" spans="1:9" s="181" customFormat="1" ht="15">
      <c r="A10" s="557">
        <v>2</v>
      </c>
      <c r="B10" s="276" t="s">
        <v>477</v>
      </c>
      <c r="C10" s="585">
        <f>('AT-8_Hon_CCH_Pry'!D15+'AT-8A_Hon_CCH_UPry'!D14)</f>
        <v>1515</v>
      </c>
      <c r="D10" s="585">
        <f aca="true" t="shared" si="0" ref="D10:D16">10127*C10/11002</f>
        <v>1394.5105435375385</v>
      </c>
      <c r="E10" s="585">
        <v>0</v>
      </c>
      <c r="F10" s="585"/>
      <c r="G10" s="585"/>
      <c r="H10" s="600" t="s">
        <v>1035</v>
      </c>
      <c r="I10" s="212"/>
    </row>
    <row r="11" spans="1:9" s="181" customFormat="1" ht="15">
      <c r="A11" s="557">
        <v>3</v>
      </c>
      <c r="B11" s="276" t="s">
        <v>478</v>
      </c>
      <c r="C11" s="585">
        <f>('AT-8_Hon_CCH_Pry'!D16+'AT-8A_Hon_CCH_UPry'!D15)</f>
        <v>1041</v>
      </c>
      <c r="D11" s="585">
        <f t="shared" si="0"/>
        <v>958.2082348663879</v>
      </c>
      <c r="E11" s="585">
        <v>0</v>
      </c>
      <c r="F11" s="585"/>
      <c r="G11" s="585"/>
      <c r="H11" s="600" t="s">
        <v>1036</v>
      </c>
      <c r="I11" s="212"/>
    </row>
    <row r="12" spans="1:9" s="181" customFormat="1" ht="15">
      <c r="A12" s="557">
        <v>4</v>
      </c>
      <c r="B12" s="276" t="s">
        <v>479</v>
      </c>
      <c r="C12" s="585">
        <f>('AT-8_Hon_CCH_Pry'!D17+'AT-8A_Hon_CCH_UPry'!D16)</f>
        <v>1225</v>
      </c>
      <c r="D12" s="585">
        <f t="shared" si="0"/>
        <v>1127.5745319032903</v>
      </c>
      <c r="E12" s="585">
        <v>0</v>
      </c>
      <c r="F12" s="585"/>
      <c r="G12" s="585"/>
      <c r="H12" s="857" t="s">
        <v>1037</v>
      </c>
      <c r="I12" s="212"/>
    </row>
    <row r="13" spans="1:9" s="181" customFormat="1" ht="15">
      <c r="A13" s="557">
        <v>5</v>
      </c>
      <c r="B13" s="276" t="s">
        <v>480</v>
      </c>
      <c r="C13" s="585">
        <f>('AT-8_Hon_CCH_Pry'!D18+'AT-8A_Hon_CCH_UPry'!D17)</f>
        <v>1517</v>
      </c>
      <c r="D13" s="585">
        <f t="shared" si="0"/>
        <v>1396.3514815488093</v>
      </c>
      <c r="E13" s="585">
        <v>0</v>
      </c>
      <c r="F13" s="585"/>
      <c r="G13" s="585"/>
      <c r="H13" s="857"/>
      <c r="I13" s="212"/>
    </row>
    <row r="14" spans="1:9" s="181" customFormat="1" ht="15">
      <c r="A14" s="557">
        <v>6</v>
      </c>
      <c r="B14" s="276" t="s">
        <v>481</v>
      </c>
      <c r="C14" s="585">
        <f>('AT-8_Hon_CCH_Pry'!D19+'AT-8A_Hon_CCH_UPry'!D18)</f>
        <v>892</v>
      </c>
      <c r="D14" s="585">
        <f t="shared" si="0"/>
        <v>821.0583530267224</v>
      </c>
      <c r="E14" s="585">
        <v>0</v>
      </c>
      <c r="F14" s="585"/>
      <c r="G14" s="585"/>
      <c r="H14" s="857"/>
      <c r="I14" s="212"/>
    </row>
    <row r="15" spans="1:9" s="181" customFormat="1" ht="15">
      <c r="A15" s="557">
        <v>7</v>
      </c>
      <c r="B15" s="276" t="s">
        <v>482</v>
      </c>
      <c r="C15" s="585">
        <f>('AT-8_Hon_CCH_Pry'!D20+'AT-8A_Hon_CCH_UPry'!D19)</f>
        <v>1322</v>
      </c>
      <c r="D15" s="585">
        <f t="shared" si="0"/>
        <v>1216.860025449918</v>
      </c>
      <c r="E15" s="585">
        <v>0</v>
      </c>
      <c r="F15" s="585"/>
      <c r="G15" s="585"/>
      <c r="H15" s="857"/>
      <c r="I15" s="212"/>
    </row>
    <row r="16" spans="1:9" s="181" customFormat="1" ht="15">
      <c r="A16" s="557">
        <v>8</v>
      </c>
      <c r="B16" s="276" t="s">
        <v>483</v>
      </c>
      <c r="C16" s="585">
        <f>('AT-8_Hon_CCH_Pry'!D21+'AT-8A_Hon_CCH_UPry'!D20)</f>
        <v>1698</v>
      </c>
      <c r="D16" s="585">
        <f t="shared" si="0"/>
        <v>1562.9563715688057</v>
      </c>
      <c r="E16" s="585">
        <v>0</v>
      </c>
      <c r="F16" s="585"/>
      <c r="G16" s="585"/>
      <c r="H16" s="858"/>
      <c r="I16" s="212"/>
    </row>
    <row r="17" spans="1:9" ht="12.75">
      <c r="A17" s="27"/>
      <c r="B17" s="275" t="s">
        <v>484</v>
      </c>
      <c r="C17" s="586">
        <f>SUM(C9:C16)</f>
        <v>11002</v>
      </c>
      <c r="D17" s="586">
        <f>SUM(D9:D16)</f>
        <v>10127</v>
      </c>
      <c r="E17" s="586">
        <f>SUM(E9:E16)</f>
        <v>0</v>
      </c>
      <c r="F17" s="586"/>
      <c r="G17" s="586"/>
      <c r="H17" s="586"/>
      <c r="I17" s="9"/>
    </row>
    <row r="18" ht="12.75">
      <c r="A18" s="187"/>
    </row>
    <row r="19" ht="12.75">
      <c r="A19" s="187"/>
    </row>
    <row r="22" spans="1:9" ht="15" customHeight="1">
      <c r="A22" s="519"/>
      <c r="B22" s="519"/>
      <c r="C22" s="519"/>
      <c r="D22" s="519"/>
      <c r="E22" s="519"/>
      <c r="G22" s="859" t="s">
        <v>857</v>
      </c>
      <c r="H22" s="859"/>
      <c r="I22" s="587"/>
    </row>
    <row r="23" spans="1:9" ht="15" customHeight="1">
      <c r="A23" s="519"/>
      <c r="B23" s="519"/>
      <c r="C23" s="519"/>
      <c r="D23" s="519"/>
      <c r="E23" s="519"/>
      <c r="G23" s="743" t="s">
        <v>487</v>
      </c>
      <c r="H23" s="743"/>
      <c r="I23" s="201"/>
    </row>
    <row r="24" spans="1:9" ht="12.75">
      <c r="A24" s="519" t="s">
        <v>11</v>
      </c>
      <c r="C24" s="519"/>
      <c r="D24" s="519"/>
      <c r="E24" s="519"/>
      <c r="G24" s="588" t="s">
        <v>80</v>
      </c>
      <c r="H24" s="588"/>
      <c r="I24" s="588"/>
    </row>
    <row r="25" spans="1:13" ht="12.75">
      <c r="A25" s="519"/>
      <c r="B25" s="519"/>
      <c r="C25" s="519"/>
      <c r="D25" s="519"/>
      <c r="E25" s="519"/>
      <c r="F25" s="519"/>
      <c r="G25" s="519"/>
      <c r="H25" s="519"/>
      <c r="I25" s="519"/>
      <c r="J25" s="519"/>
      <c r="K25" s="519"/>
      <c r="L25" s="519"/>
      <c r="M25" s="519"/>
    </row>
  </sheetData>
  <sheetProtection/>
  <mergeCells count="7">
    <mergeCell ref="G23:H23"/>
    <mergeCell ref="A1:G1"/>
    <mergeCell ref="A2:G2"/>
    <mergeCell ref="A4:G4"/>
    <mergeCell ref="F6:H6"/>
    <mergeCell ref="H12:H16"/>
    <mergeCell ref="G22:H22"/>
  </mergeCells>
  <printOptions/>
  <pageMargins left="0.45" right="0.23" top="0.75" bottom="0.75" header="0.3" footer="0.3"/>
  <pageSetup horizontalDpi="600" verticalDpi="600" orientation="landscape" paperSize="9" scale="90" r:id="rId1"/>
</worksheet>
</file>

<file path=xl/worksheets/sheet35.xml><?xml version="1.0" encoding="utf-8"?>
<worksheet xmlns="http://schemas.openxmlformats.org/spreadsheetml/2006/main" xmlns:r="http://schemas.openxmlformats.org/officeDocument/2006/relationships">
  <sheetPr>
    <pageSetUpPr fitToPage="1"/>
  </sheetPr>
  <dimension ref="A1:S37"/>
  <sheetViews>
    <sheetView view="pageBreakPreview" zoomScaleSheetLayoutView="100" zoomScalePageLayoutView="0" workbookViewId="0" topLeftCell="A1">
      <selection activeCell="B9" sqref="B9:B10"/>
    </sheetView>
  </sheetViews>
  <sheetFormatPr defaultColWidth="9.140625" defaultRowHeight="12.75"/>
  <cols>
    <col min="1" max="1" width="5.00390625" style="0" customWidth="1"/>
    <col min="2" max="2" width="12.00390625" style="0" customWidth="1"/>
    <col min="3" max="4" width="14.00390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1" ht="15">
      <c r="D1" s="697"/>
      <c r="E1" s="697"/>
      <c r="H1" s="44"/>
      <c r="I1" s="744" t="s">
        <v>64</v>
      </c>
      <c r="J1" s="744"/>
      <c r="K1" s="744"/>
    </row>
    <row r="2" spans="1:10" ht="15">
      <c r="A2" s="751" t="s">
        <v>0</v>
      </c>
      <c r="B2" s="751"/>
      <c r="C2" s="751"/>
      <c r="D2" s="751"/>
      <c r="E2" s="751"/>
      <c r="F2" s="751"/>
      <c r="G2" s="751"/>
      <c r="H2" s="751"/>
      <c r="I2" s="751"/>
      <c r="J2" s="751"/>
    </row>
    <row r="3" spans="1:10" ht="20.25">
      <c r="A3" s="645" t="s">
        <v>854</v>
      </c>
      <c r="B3" s="645"/>
      <c r="C3" s="645"/>
      <c r="D3" s="645"/>
      <c r="E3" s="645"/>
      <c r="F3" s="645"/>
      <c r="G3" s="645"/>
      <c r="H3" s="645"/>
      <c r="I3" s="645"/>
      <c r="J3" s="645"/>
    </row>
    <row r="4" ht="10.5" customHeight="1"/>
    <row r="5" spans="1:11" s="16" customFormat="1" ht="18.75" customHeight="1">
      <c r="A5" s="860" t="s">
        <v>439</v>
      </c>
      <c r="B5" s="860"/>
      <c r="C5" s="860"/>
      <c r="D5" s="860"/>
      <c r="E5" s="860"/>
      <c r="F5" s="860"/>
      <c r="G5" s="860"/>
      <c r="H5" s="860"/>
      <c r="I5" s="860"/>
      <c r="J5" s="860"/>
      <c r="K5" s="860"/>
    </row>
    <row r="6" spans="1:10" s="16" customFormat="1" ht="5.25" customHeight="1">
      <c r="A6" s="47"/>
      <c r="B6" s="47"/>
      <c r="C6" s="47"/>
      <c r="D6" s="47"/>
      <c r="E6" s="47"/>
      <c r="F6" s="47"/>
      <c r="G6" s="47"/>
      <c r="H6" s="47"/>
      <c r="I6" s="47"/>
      <c r="J6" s="47"/>
    </row>
    <row r="7" spans="1:11" s="16" customFormat="1" ht="12.75">
      <c r="A7" s="699" t="s">
        <v>475</v>
      </c>
      <c r="B7" s="699"/>
      <c r="E7" s="861"/>
      <c r="F7" s="861"/>
      <c r="G7" s="861"/>
      <c r="H7" s="861"/>
      <c r="I7" s="861" t="s">
        <v>951</v>
      </c>
      <c r="J7" s="861"/>
      <c r="K7" s="861"/>
    </row>
    <row r="8" spans="3:10" s="14" customFormat="1" ht="15.75" hidden="1">
      <c r="C8" s="751" t="s">
        <v>12</v>
      </c>
      <c r="D8" s="751"/>
      <c r="E8" s="751"/>
      <c r="F8" s="751"/>
      <c r="G8" s="751"/>
      <c r="H8" s="751"/>
      <c r="I8" s="751"/>
      <c r="J8" s="751"/>
    </row>
    <row r="9" spans="1:19" s="270" customFormat="1" ht="21.75" customHeight="1">
      <c r="A9" s="714" t="s">
        <v>21</v>
      </c>
      <c r="B9" s="714" t="s">
        <v>54</v>
      </c>
      <c r="C9" s="683" t="s">
        <v>465</v>
      </c>
      <c r="D9" s="684"/>
      <c r="E9" s="683" t="s">
        <v>35</v>
      </c>
      <c r="F9" s="684"/>
      <c r="G9" s="683" t="s">
        <v>36</v>
      </c>
      <c r="H9" s="684"/>
      <c r="I9" s="653" t="s">
        <v>101</v>
      </c>
      <c r="J9" s="653"/>
      <c r="K9" s="714" t="s">
        <v>239</v>
      </c>
      <c r="R9" s="271"/>
      <c r="S9" s="272"/>
    </row>
    <row r="10" spans="1:11" s="282" customFormat="1" ht="38.25">
      <c r="A10" s="716"/>
      <c r="B10" s="716"/>
      <c r="C10" s="257" t="s">
        <v>37</v>
      </c>
      <c r="D10" s="257" t="s">
        <v>502</v>
      </c>
      <c r="E10" s="257" t="s">
        <v>37</v>
      </c>
      <c r="F10" s="257" t="s">
        <v>758</v>
      </c>
      <c r="G10" s="257" t="s">
        <v>37</v>
      </c>
      <c r="H10" s="257" t="s">
        <v>756</v>
      </c>
      <c r="I10" s="257" t="s">
        <v>134</v>
      </c>
      <c r="J10" s="257" t="s">
        <v>759</v>
      </c>
      <c r="K10" s="716"/>
    </row>
    <row r="11" spans="1:11" ht="12.75">
      <c r="A11" s="139">
        <v>1</v>
      </c>
      <c r="B11" s="139">
        <v>2</v>
      </c>
      <c r="C11" s="139">
        <v>3</v>
      </c>
      <c r="D11" s="139">
        <v>4</v>
      </c>
      <c r="E11" s="139">
        <v>5</v>
      </c>
      <c r="F11" s="139">
        <v>6</v>
      </c>
      <c r="G11" s="139">
        <v>7</v>
      </c>
      <c r="H11" s="139">
        <v>8</v>
      </c>
      <c r="I11" s="139">
        <v>9</v>
      </c>
      <c r="J11" s="139">
        <v>10</v>
      </c>
      <c r="K11" s="3">
        <v>11</v>
      </c>
    </row>
    <row r="12" spans="1:11" ht="15" customHeight="1">
      <c r="A12" s="8">
        <v>1</v>
      </c>
      <c r="B12" s="18" t="s">
        <v>380</v>
      </c>
      <c r="C12" s="9">
        <v>962</v>
      </c>
      <c r="D12" s="343">
        <v>577.25</v>
      </c>
      <c r="E12" s="9">
        <f>C12</f>
        <v>962</v>
      </c>
      <c r="F12" s="343">
        <f>D12</f>
        <v>577.25</v>
      </c>
      <c r="G12" s="9">
        <v>0</v>
      </c>
      <c r="H12" s="343">
        <v>0</v>
      </c>
      <c r="I12" s="9">
        <f>C12-(E12+G12)</f>
        <v>0</v>
      </c>
      <c r="J12" s="343">
        <f>D12-(F12+H12)</f>
        <v>0</v>
      </c>
      <c r="K12" s="9">
        <v>562</v>
      </c>
    </row>
    <row r="13" spans="1:11" ht="15" customHeight="1">
      <c r="A13" s="8">
        <v>2</v>
      </c>
      <c r="B13" s="18" t="s">
        <v>381</v>
      </c>
      <c r="C13" s="9">
        <v>198</v>
      </c>
      <c r="D13" s="343">
        <v>118.8</v>
      </c>
      <c r="E13" s="9">
        <f aca="true" t="shared" si="0" ref="E13:E24">C13</f>
        <v>198</v>
      </c>
      <c r="F13" s="343">
        <f aca="true" t="shared" si="1" ref="F13:F24">D13</f>
        <v>118.8</v>
      </c>
      <c r="G13" s="9">
        <v>0</v>
      </c>
      <c r="H13" s="343">
        <v>0</v>
      </c>
      <c r="I13" s="9">
        <f aca="true" t="shared" si="2" ref="I13:I19">C13-(E13+G13)</f>
        <v>0</v>
      </c>
      <c r="J13" s="343">
        <f aca="true" t="shared" si="3" ref="J13:J19">D13-(F13+H13)</f>
        <v>0</v>
      </c>
      <c r="K13" s="9">
        <v>0</v>
      </c>
    </row>
    <row r="14" spans="1:11" ht="15" customHeight="1">
      <c r="A14" s="8">
        <v>3</v>
      </c>
      <c r="B14" s="18" t="s">
        <v>382</v>
      </c>
      <c r="C14" s="9">
        <v>722</v>
      </c>
      <c r="D14" s="343">
        <v>433.2</v>
      </c>
      <c r="E14" s="9">
        <f t="shared" si="0"/>
        <v>722</v>
      </c>
      <c r="F14" s="343">
        <f t="shared" si="1"/>
        <v>433.2</v>
      </c>
      <c r="G14" s="9">
        <v>0</v>
      </c>
      <c r="H14" s="343">
        <v>0</v>
      </c>
      <c r="I14" s="9">
        <f t="shared" si="2"/>
        <v>0</v>
      </c>
      <c r="J14" s="343">
        <f t="shared" si="3"/>
        <v>0</v>
      </c>
      <c r="K14" s="9">
        <v>0</v>
      </c>
    </row>
    <row r="15" spans="1:11" ht="15" customHeight="1">
      <c r="A15" s="8">
        <v>4</v>
      </c>
      <c r="B15" s="18" t="s">
        <v>383</v>
      </c>
      <c r="C15" s="9">
        <v>1002</v>
      </c>
      <c r="D15" s="343">
        <v>1991.2</v>
      </c>
      <c r="E15" s="9">
        <f t="shared" si="0"/>
        <v>1002</v>
      </c>
      <c r="F15" s="343">
        <f t="shared" si="1"/>
        <v>1991.2</v>
      </c>
      <c r="G15" s="9">
        <v>0</v>
      </c>
      <c r="H15" s="343">
        <v>0</v>
      </c>
      <c r="I15" s="9">
        <f t="shared" si="2"/>
        <v>0</v>
      </c>
      <c r="J15" s="343">
        <f t="shared" si="3"/>
        <v>0</v>
      </c>
      <c r="K15" s="9">
        <v>0</v>
      </c>
    </row>
    <row r="16" spans="1:11" ht="15" customHeight="1">
      <c r="A16" s="8">
        <v>5</v>
      </c>
      <c r="B16" s="18" t="s">
        <v>384</v>
      </c>
      <c r="C16" s="9">
        <v>0</v>
      </c>
      <c r="D16" s="343">
        <v>0</v>
      </c>
      <c r="E16" s="9">
        <f t="shared" si="0"/>
        <v>0</v>
      </c>
      <c r="F16" s="343">
        <f t="shared" si="1"/>
        <v>0</v>
      </c>
      <c r="G16" s="9">
        <v>0</v>
      </c>
      <c r="H16" s="343">
        <v>0</v>
      </c>
      <c r="I16" s="9">
        <f t="shared" si="2"/>
        <v>0</v>
      </c>
      <c r="J16" s="343">
        <f t="shared" si="3"/>
        <v>0</v>
      </c>
      <c r="K16" s="9">
        <v>0</v>
      </c>
    </row>
    <row r="17" spans="1:11" ht="15" customHeight="1">
      <c r="A17" s="8">
        <v>6</v>
      </c>
      <c r="B17" s="18" t="s">
        <v>385</v>
      </c>
      <c r="C17" s="9">
        <v>1730</v>
      </c>
      <c r="D17" s="343">
        <v>3499.54</v>
      </c>
      <c r="E17" s="9">
        <v>1991</v>
      </c>
      <c r="F17" s="343">
        <f t="shared" si="1"/>
        <v>3499.54</v>
      </c>
      <c r="G17" s="9">
        <v>0</v>
      </c>
      <c r="H17" s="343">
        <v>0</v>
      </c>
      <c r="I17" s="9">
        <v>0</v>
      </c>
      <c r="J17" s="343">
        <f t="shared" si="3"/>
        <v>0</v>
      </c>
      <c r="K17" s="9">
        <v>0</v>
      </c>
    </row>
    <row r="18" spans="1:11" ht="15" customHeight="1">
      <c r="A18" s="8">
        <v>7</v>
      </c>
      <c r="B18" s="18" t="s">
        <v>386</v>
      </c>
      <c r="C18" s="9">
        <v>0</v>
      </c>
      <c r="D18" s="343">
        <v>0</v>
      </c>
      <c r="E18" s="9">
        <f t="shared" si="0"/>
        <v>0</v>
      </c>
      <c r="F18" s="343">
        <f t="shared" si="1"/>
        <v>0</v>
      </c>
      <c r="G18" s="9">
        <v>0</v>
      </c>
      <c r="H18" s="343">
        <v>0</v>
      </c>
      <c r="I18" s="9">
        <f t="shared" si="2"/>
        <v>0</v>
      </c>
      <c r="J18" s="343">
        <f t="shared" si="3"/>
        <v>0</v>
      </c>
      <c r="K18" s="9">
        <v>0</v>
      </c>
    </row>
    <row r="19" spans="1:11" s="13" customFormat="1" ht="15" customHeight="1">
      <c r="A19" s="8">
        <v>8</v>
      </c>
      <c r="B19" s="18" t="s">
        <v>254</v>
      </c>
      <c r="C19" s="9">
        <v>530</v>
      </c>
      <c r="D19" s="343">
        <v>851.33</v>
      </c>
      <c r="E19" s="9">
        <f t="shared" si="0"/>
        <v>530</v>
      </c>
      <c r="F19" s="343">
        <f t="shared" si="1"/>
        <v>851.33</v>
      </c>
      <c r="G19" s="9">
        <v>0</v>
      </c>
      <c r="H19" s="343">
        <v>0</v>
      </c>
      <c r="I19" s="9">
        <f t="shared" si="2"/>
        <v>0</v>
      </c>
      <c r="J19" s="343">
        <f t="shared" si="3"/>
        <v>0</v>
      </c>
      <c r="K19" s="9">
        <v>0</v>
      </c>
    </row>
    <row r="20" spans="1:11" s="13" customFormat="1" ht="15" customHeight="1">
      <c r="A20" s="8">
        <v>9</v>
      </c>
      <c r="B20" s="18" t="s">
        <v>638</v>
      </c>
      <c r="C20" s="9">
        <v>160</v>
      </c>
      <c r="D20" s="343">
        <v>292.61</v>
      </c>
      <c r="E20" s="9">
        <f t="shared" si="0"/>
        <v>160</v>
      </c>
      <c r="F20" s="343">
        <f t="shared" si="1"/>
        <v>292.61</v>
      </c>
      <c r="G20" s="9">
        <v>0</v>
      </c>
      <c r="H20" s="343">
        <v>0</v>
      </c>
      <c r="I20" s="9">
        <f aca="true" t="shared" si="4" ref="I20:J24">C20-(E20+G20)</f>
        <v>0</v>
      </c>
      <c r="J20" s="343">
        <f t="shared" si="4"/>
        <v>0</v>
      </c>
      <c r="K20" s="9">
        <v>0</v>
      </c>
    </row>
    <row r="21" spans="1:11" s="13" customFormat="1" ht="15" customHeight="1">
      <c r="A21" s="8">
        <v>10</v>
      </c>
      <c r="B21" s="18" t="s">
        <v>688</v>
      </c>
      <c r="C21" s="9">
        <v>0</v>
      </c>
      <c r="D21" s="343">
        <v>0</v>
      </c>
      <c r="E21" s="9">
        <f aca="true" t="shared" si="5" ref="E21:F23">C21</f>
        <v>0</v>
      </c>
      <c r="F21" s="343">
        <f t="shared" si="5"/>
        <v>0</v>
      </c>
      <c r="G21" s="9">
        <v>0</v>
      </c>
      <c r="H21" s="343">
        <v>0</v>
      </c>
      <c r="I21" s="9">
        <f t="shared" si="4"/>
        <v>0</v>
      </c>
      <c r="J21" s="343">
        <f t="shared" si="4"/>
        <v>0</v>
      </c>
      <c r="K21" s="9">
        <v>0</v>
      </c>
    </row>
    <row r="22" spans="1:11" s="13" customFormat="1" ht="15" customHeight="1">
      <c r="A22" s="8">
        <v>11</v>
      </c>
      <c r="B22" s="18" t="s">
        <v>760</v>
      </c>
      <c r="C22" s="9">
        <v>0</v>
      </c>
      <c r="D22" s="343">
        <v>0</v>
      </c>
      <c r="E22" s="9">
        <f t="shared" si="5"/>
        <v>0</v>
      </c>
      <c r="F22" s="343">
        <f t="shared" si="5"/>
        <v>0</v>
      </c>
      <c r="G22" s="9">
        <v>0</v>
      </c>
      <c r="H22" s="343">
        <v>0</v>
      </c>
      <c r="I22" s="9">
        <f>C22-(E22+G22)</f>
        <v>0</v>
      </c>
      <c r="J22" s="343">
        <f>D22-(F22+H22)</f>
        <v>0</v>
      </c>
      <c r="K22" s="9">
        <v>0</v>
      </c>
    </row>
    <row r="23" spans="1:11" s="13" customFormat="1" ht="15" customHeight="1">
      <c r="A23" s="8">
        <v>12</v>
      </c>
      <c r="B23" s="18" t="s">
        <v>1002</v>
      </c>
      <c r="C23" s="9">
        <v>0</v>
      </c>
      <c r="D23" s="343">
        <v>0</v>
      </c>
      <c r="E23" s="9">
        <f t="shared" si="5"/>
        <v>0</v>
      </c>
      <c r="F23" s="343">
        <f t="shared" si="5"/>
        <v>0</v>
      </c>
      <c r="G23" s="9">
        <v>0</v>
      </c>
      <c r="H23" s="343">
        <v>0</v>
      </c>
      <c r="I23" s="9">
        <f>C23-(E23+G23)</f>
        <v>0</v>
      </c>
      <c r="J23" s="343">
        <f>D23-(F23+H23)</f>
        <v>0</v>
      </c>
      <c r="K23" s="9">
        <v>0</v>
      </c>
    </row>
    <row r="24" spans="1:11" s="13" customFormat="1" ht="15" customHeight="1">
      <c r="A24" s="8">
        <v>13</v>
      </c>
      <c r="B24" s="18" t="s">
        <v>754</v>
      </c>
      <c r="C24" s="9">
        <v>0</v>
      </c>
      <c r="D24" s="343">
        <v>0</v>
      </c>
      <c r="E24" s="9">
        <f t="shared" si="0"/>
        <v>0</v>
      </c>
      <c r="F24" s="343">
        <f t="shared" si="1"/>
        <v>0</v>
      </c>
      <c r="G24" s="9">
        <v>0</v>
      </c>
      <c r="H24" s="343">
        <v>0</v>
      </c>
      <c r="I24" s="9">
        <f t="shared" si="4"/>
        <v>0</v>
      </c>
      <c r="J24" s="343">
        <f t="shared" si="4"/>
        <v>0</v>
      </c>
      <c r="K24" s="9">
        <v>0</v>
      </c>
    </row>
    <row r="25" spans="1:11" s="13" customFormat="1" ht="12.75">
      <c r="A25" s="655" t="s">
        <v>15</v>
      </c>
      <c r="B25" s="656"/>
      <c r="C25" s="9">
        <f>SUM(C12:C24)</f>
        <v>5304</v>
      </c>
      <c r="D25" s="9">
        <f>SUM(D12:D24)</f>
        <v>7763.929999999999</v>
      </c>
      <c r="E25" s="9">
        <f>SUM(E12:E24)</f>
        <v>5565</v>
      </c>
      <c r="F25" s="9">
        <f>SUM(F12:F24)</f>
        <v>7763.929999999999</v>
      </c>
      <c r="G25" s="9">
        <v>0</v>
      </c>
      <c r="H25" s="343">
        <v>0</v>
      </c>
      <c r="I25" s="9">
        <f>SUM(I12:I24)</f>
        <v>0</v>
      </c>
      <c r="J25" s="343">
        <f>SUM(J12:J24)</f>
        <v>0</v>
      </c>
      <c r="K25" s="9">
        <v>562</v>
      </c>
    </row>
    <row r="26" s="13" customFormat="1" ht="12.75">
      <c r="A26" s="20"/>
    </row>
    <row r="27" spans="1:9" s="13" customFormat="1" ht="12.75">
      <c r="A27" s="20" t="s">
        <v>559</v>
      </c>
      <c r="B27" s="863" t="s">
        <v>661</v>
      </c>
      <c r="C27" s="863"/>
      <c r="D27" s="863"/>
      <c r="E27" s="863"/>
      <c r="F27" s="863"/>
      <c r="G27" s="863"/>
      <c r="H27" s="863"/>
      <c r="I27" s="863"/>
    </row>
    <row r="28" spans="1:9" s="13" customFormat="1" ht="12.75">
      <c r="A28" s="11"/>
      <c r="B28" s="28" t="s">
        <v>659</v>
      </c>
      <c r="C28" s="28"/>
      <c r="D28" s="28"/>
      <c r="E28" s="28"/>
      <c r="F28" s="28"/>
      <c r="G28" s="28"/>
      <c r="H28" s="28"/>
      <c r="I28" s="28"/>
    </row>
    <row r="29" spans="1:9" s="13" customFormat="1" ht="12.75">
      <c r="A29" s="11"/>
      <c r="B29" s="28" t="s">
        <v>660</v>
      </c>
      <c r="C29" s="28"/>
      <c r="D29" s="28"/>
      <c r="E29" s="28"/>
      <c r="F29" s="28"/>
      <c r="G29" s="28"/>
      <c r="H29" s="28"/>
      <c r="I29" s="28"/>
    </row>
    <row r="30" spans="1:9" s="13" customFormat="1" ht="12.75">
      <c r="A30" s="11"/>
      <c r="B30" s="862"/>
      <c r="C30" s="862"/>
      <c r="D30" s="862"/>
      <c r="E30" s="862"/>
      <c r="F30" s="862"/>
      <c r="G30" s="862"/>
      <c r="H30" s="862"/>
      <c r="I30" s="862"/>
    </row>
    <row r="31" s="13" customFormat="1" ht="12.75">
      <c r="A31" s="11"/>
    </row>
    <row r="32" spans="2:16" s="16" customFormat="1" ht="13.5" customHeight="1">
      <c r="B32" s="86"/>
      <c r="C32" s="86"/>
      <c r="D32" s="86"/>
      <c r="E32" s="86"/>
      <c r="F32" s="86"/>
      <c r="G32" s="86"/>
      <c r="H32" s="86"/>
      <c r="I32" s="667"/>
      <c r="J32" s="667"/>
      <c r="K32" s="86"/>
      <c r="L32" s="86"/>
      <c r="M32" s="86"/>
      <c r="N32" s="86"/>
      <c r="O32" s="86"/>
      <c r="P32" s="86"/>
    </row>
    <row r="33" spans="2:16" s="16" customFormat="1" ht="12.75" customHeight="1">
      <c r="B33" s="86"/>
      <c r="C33" s="86"/>
      <c r="D33" s="86"/>
      <c r="E33" s="86"/>
      <c r="F33" s="86"/>
      <c r="G33" s="86"/>
      <c r="H33" s="86"/>
      <c r="I33" s="667" t="s">
        <v>819</v>
      </c>
      <c r="J33" s="667"/>
      <c r="K33" s="86"/>
      <c r="L33" s="86"/>
      <c r="M33" s="86"/>
      <c r="N33" s="86"/>
      <c r="O33" s="86"/>
      <c r="P33" s="86"/>
    </row>
    <row r="34" spans="2:16" s="16" customFormat="1" ht="12.75" customHeight="1">
      <c r="B34" s="86"/>
      <c r="C34" s="86"/>
      <c r="D34" s="86"/>
      <c r="E34" s="86"/>
      <c r="F34" s="86"/>
      <c r="G34" s="86"/>
      <c r="H34" s="86"/>
      <c r="I34" s="667" t="s">
        <v>488</v>
      </c>
      <c r="J34" s="667"/>
      <c r="K34" s="86"/>
      <c r="L34" s="86"/>
      <c r="M34" s="86"/>
      <c r="N34" s="86"/>
      <c r="O34" s="86"/>
      <c r="P34" s="86"/>
    </row>
    <row r="35" spans="1:9" s="16" customFormat="1" ht="12.75">
      <c r="A35" s="15" t="s">
        <v>18</v>
      </c>
      <c r="B35" s="15"/>
      <c r="C35" s="15"/>
      <c r="D35" s="15"/>
      <c r="E35" s="15"/>
      <c r="F35" s="15"/>
      <c r="H35" s="697" t="s">
        <v>494</v>
      </c>
      <c r="I35" s="697"/>
    </row>
    <row r="36" s="16" customFormat="1" ht="12.75">
      <c r="A36" s="15"/>
    </row>
    <row r="37" spans="1:10" ht="12.75">
      <c r="A37" s="746"/>
      <c r="B37" s="746"/>
      <c r="C37" s="746"/>
      <c r="D37" s="746"/>
      <c r="E37" s="746"/>
      <c r="F37" s="746"/>
      <c r="G37" s="746"/>
      <c r="H37" s="746"/>
      <c r="I37" s="746"/>
      <c r="J37" s="746"/>
    </row>
  </sheetData>
  <sheetProtection/>
  <mergeCells count="24">
    <mergeCell ref="K9:K10"/>
    <mergeCell ref="I32:J32"/>
    <mergeCell ref="H35:I35"/>
    <mergeCell ref="A37:J37"/>
    <mergeCell ref="I34:J34"/>
    <mergeCell ref="A25:B25"/>
    <mergeCell ref="B30:I30"/>
    <mergeCell ref="B27:I27"/>
    <mergeCell ref="I33:J33"/>
    <mergeCell ref="C8:J8"/>
    <mergeCell ref="A9:A10"/>
    <mergeCell ref="B9:B10"/>
    <mergeCell ref="C9:D9"/>
    <mergeCell ref="E9:F9"/>
    <mergeCell ref="G9:H9"/>
    <mergeCell ref="I9:J9"/>
    <mergeCell ref="D1:E1"/>
    <mergeCell ref="A2:J2"/>
    <mergeCell ref="A3:J3"/>
    <mergeCell ref="A5:K5"/>
    <mergeCell ref="A7:B7"/>
    <mergeCell ref="E7:H7"/>
    <mergeCell ref="I7:K7"/>
    <mergeCell ref="I1:K1"/>
  </mergeCells>
  <printOptions horizontalCentered="1"/>
  <pageMargins left="0.42" right="0.15" top="1.21" bottom="0" header="0.82" footer="0.31496062992125984"/>
  <pageSetup fitToHeight="1" fitToWidth="1" horizontalDpi="600" verticalDpi="600" orientation="landscape" paperSize="9" scale="98" r:id="rId1"/>
</worksheet>
</file>

<file path=xl/worksheets/sheet36.xml><?xml version="1.0" encoding="utf-8"?>
<worksheet xmlns="http://schemas.openxmlformats.org/spreadsheetml/2006/main" xmlns:r="http://schemas.openxmlformats.org/officeDocument/2006/relationships">
  <sheetPr>
    <pageSetUpPr fitToPage="1"/>
  </sheetPr>
  <dimension ref="A1:S38"/>
  <sheetViews>
    <sheetView view="pageBreakPreview" zoomScaleSheetLayoutView="100" zoomScalePageLayoutView="0" workbookViewId="0" topLeftCell="A1">
      <selection activeCell="K20" sqref="K20"/>
    </sheetView>
  </sheetViews>
  <sheetFormatPr defaultColWidth="9.140625" defaultRowHeight="12.75"/>
  <cols>
    <col min="1" max="1" width="5.00390625" style="0" customWidth="1"/>
    <col min="2" max="2" width="10.5742187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1" ht="15">
      <c r="D1" s="697"/>
      <c r="E1" s="697"/>
      <c r="H1" s="44"/>
      <c r="J1" s="744" t="s">
        <v>387</v>
      </c>
      <c r="K1" s="744"/>
    </row>
    <row r="2" spans="1:10" ht="15">
      <c r="A2" s="751" t="s">
        <v>0</v>
      </c>
      <c r="B2" s="751"/>
      <c r="C2" s="751"/>
      <c r="D2" s="751"/>
      <c r="E2" s="751"/>
      <c r="F2" s="751"/>
      <c r="G2" s="751"/>
      <c r="H2" s="751"/>
      <c r="I2" s="751"/>
      <c r="J2" s="751"/>
    </row>
    <row r="3" spans="1:10" ht="20.25">
      <c r="A3" s="645" t="s">
        <v>854</v>
      </c>
      <c r="B3" s="645"/>
      <c r="C3" s="645"/>
      <c r="D3" s="645"/>
      <c r="E3" s="645"/>
      <c r="F3" s="645"/>
      <c r="G3" s="645"/>
      <c r="H3" s="645"/>
      <c r="I3" s="645"/>
      <c r="J3" s="645"/>
    </row>
    <row r="4" ht="10.5" customHeight="1"/>
    <row r="5" spans="1:11" s="16" customFormat="1" ht="18.75" customHeight="1">
      <c r="A5" s="860" t="s">
        <v>440</v>
      </c>
      <c r="B5" s="860"/>
      <c r="C5" s="860"/>
      <c r="D5" s="860"/>
      <c r="E5" s="860"/>
      <c r="F5" s="860"/>
      <c r="G5" s="860"/>
      <c r="H5" s="860"/>
      <c r="I5" s="860"/>
      <c r="J5" s="860"/>
      <c r="K5" s="860"/>
    </row>
    <row r="6" spans="1:10" s="16" customFormat="1" ht="15.75" customHeight="1">
      <c r="A6" s="47"/>
      <c r="B6" s="47"/>
      <c r="C6" s="47"/>
      <c r="D6" s="47"/>
      <c r="E6" s="47"/>
      <c r="F6" s="47"/>
      <c r="G6" s="47"/>
      <c r="H6" s="47"/>
      <c r="I6" s="47"/>
      <c r="J6" s="47"/>
    </row>
    <row r="7" spans="1:11" s="16" customFormat="1" ht="12.75">
      <c r="A7" s="699" t="s">
        <v>475</v>
      </c>
      <c r="B7" s="699"/>
      <c r="E7" s="861"/>
      <c r="F7" s="861"/>
      <c r="G7" s="861"/>
      <c r="H7" s="861"/>
      <c r="I7" s="861" t="s">
        <v>951</v>
      </c>
      <c r="J7" s="861"/>
      <c r="K7" s="861"/>
    </row>
    <row r="8" spans="3:10" s="14" customFormat="1" ht="15.75" hidden="1">
      <c r="C8" s="751" t="s">
        <v>12</v>
      </c>
      <c r="D8" s="751"/>
      <c r="E8" s="751"/>
      <c r="F8" s="751"/>
      <c r="G8" s="751"/>
      <c r="H8" s="751"/>
      <c r="I8" s="751"/>
      <c r="J8" s="751"/>
    </row>
    <row r="9" spans="1:19" s="270" customFormat="1" ht="46.5" customHeight="1">
      <c r="A9" s="714" t="s">
        <v>21</v>
      </c>
      <c r="B9" s="714" t="s">
        <v>34</v>
      </c>
      <c r="C9" s="683" t="s">
        <v>922</v>
      </c>
      <c r="D9" s="684"/>
      <c r="E9" s="683" t="s">
        <v>35</v>
      </c>
      <c r="F9" s="684"/>
      <c r="G9" s="683" t="s">
        <v>36</v>
      </c>
      <c r="H9" s="684"/>
      <c r="I9" s="653" t="s">
        <v>101</v>
      </c>
      <c r="J9" s="653"/>
      <c r="K9" s="714" t="s">
        <v>239</v>
      </c>
      <c r="R9" s="271"/>
      <c r="S9" s="272"/>
    </row>
    <row r="10" spans="1:11" s="282" customFormat="1" ht="38.25">
      <c r="A10" s="716"/>
      <c r="B10" s="716"/>
      <c r="C10" s="257" t="s">
        <v>37</v>
      </c>
      <c r="D10" s="257" t="s">
        <v>755</v>
      </c>
      <c r="E10" s="257" t="s">
        <v>37</v>
      </c>
      <c r="F10" s="257" t="s">
        <v>756</v>
      </c>
      <c r="G10" s="257" t="s">
        <v>37</v>
      </c>
      <c r="H10" s="257" t="s">
        <v>756</v>
      </c>
      <c r="I10" s="257" t="s">
        <v>134</v>
      </c>
      <c r="J10" s="257" t="s">
        <v>757</v>
      </c>
      <c r="K10" s="716"/>
    </row>
    <row r="11" spans="1:11" ht="12.75">
      <c r="A11" s="139">
        <v>1</v>
      </c>
      <c r="B11" s="139">
        <v>2</v>
      </c>
      <c r="C11" s="139">
        <v>3</v>
      </c>
      <c r="D11" s="139">
        <v>4</v>
      </c>
      <c r="E11" s="139">
        <v>5</v>
      </c>
      <c r="F11" s="139">
        <v>6</v>
      </c>
      <c r="G11" s="139">
        <v>7</v>
      </c>
      <c r="H11" s="139">
        <v>8</v>
      </c>
      <c r="I11" s="139">
        <v>9</v>
      </c>
      <c r="J11" s="139">
        <v>10</v>
      </c>
      <c r="K11" s="3">
        <v>11</v>
      </c>
    </row>
    <row r="12" spans="1:13" ht="12.75">
      <c r="A12" s="8">
        <v>1</v>
      </c>
      <c r="B12" s="19" t="s">
        <v>476</v>
      </c>
      <c r="C12" s="9">
        <v>737</v>
      </c>
      <c r="D12" s="343">
        <v>1078.44</v>
      </c>
      <c r="E12" s="9">
        <v>773</v>
      </c>
      <c r="F12" s="343">
        <f>1068.52+9.92</f>
        <v>1078.44</v>
      </c>
      <c r="G12" s="9">
        <v>0</v>
      </c>
      <c r="H12" s="343">
        <v>0</v>
      </c>
      <c r="I12" s="9">
        <v>0</v>
      </c>
      <c r="J12" s="343">
        <f>D12-(F12+H12)</f>
        <v>0</v>
      </c>
      <c r="K12" s="9">
        <v>88</v>
      </c>
      <c r="L12" s="433"/>
      <c r="M12" s="344"/>
    </row>
    <row r="13" spans="1:13" ht="12.75">
      <c r="A13" s="8">
        <v>2</v>
      </c>
      <c r="B13" s="19" t="s">
        <v>477</v>
      </c>
      <c r="C13" s="9">
        <v>708</v>
      </c>
      <c r="D13" s="343">
        <v>1036.59</v>
      </c>
      <c r="E13" s="9">
        <f>715+28</f>
        <v>743</v>
      </c>
      <c r="F13" s="343">
        <f>988.34+48.25</f>
        <v>1036.5900000000001</v>
      </c>
      <c r="G13" s="9">
        <v>0</v>
      </c>
      <c r="H13" s="343">
        <v>0</v>
      </c>
      <c r="I13" s="9">
        <v>0</v>
      </c>
      <c r="J13" s="343">
        <f aca="true" t="shared" si="0" ref="J13:J19">D13-(F13+H13)</f>
        <v>0</v>
      </c>
      <c r="K13" s="9">
        <v>29</v>
      </c>
      <c r="L13" s="433"/>
      <c r="M13" s="344"/>
    </row>
    <row r="14" spans="1:13" ht="12.75">
      <c r="A14" s="8">
        <v>3</v>
      </c>
      <c r="B14" s="19" t="s">
        <v>478</v>
      </c>
      <c r="C14" s="9">
        <v>545</v>
      </c>
      <c r="D14" s="343">
        <v>798.02</v>
      </c>
      <c r="E14" s="9">
        <f>556+16</f>
        <v>572</v>
      </c>
      <c r="F14" s="343">
        <f>768.56+29.46</f>
        <v>798.02</v>
      </c>
      <c r="G14" s="9">
        <v>0</v>
      </c>
      <c r="H14" s="343">
        <v>0</v>
      </c>
      <c r="I14" s="9">
        <v>0</v>
      </c>
      <c r="J14" s="343">
        <f t="shared" si="0"/>
        <v>0</v>
      </c>
      <c r="K14" s="9">
        <v>54</v>
      </c>
      <c r="L14" s="433"/>
      <c r="M14" s="344"/>
    </row>
    <row r="15" spans="1:13" ht="12.75">
      <c r="A15" s="8">
        <v>4</v>
      </c>
      <c r="B15" s="19" t="s">
        <v>479</v>
      </c>
      <c r="C15" s="9">
        <v>633</v>
      </c>
      <c r="D15" s="343">
        <v>926.37</v>
      </c>
      <c r="E15" s="9">
        <f>646+18</f>
        <v>664</v>
      </c>
      <c r="F15" s="343">
        <f>892.96+33.41</f>
        <v>926.37</v>
      </c>
      <c r="G15" s="9">
        <v>0</v>
      </c>
      <c r="H15" s="343">
        <v>0</v>
      </c>
      <c r="I15" s="9">
        <v>0</v>
      </c>
      <c r="J15" s="343">
        <f t="shared" si="0"/>
        <v>0</v>
      </c>
      <c r="K15" s="9">
        <v>105</v>
      </c>
      <c r="L15" s="434"/>
      <c r="M15" s="344"/>
    </row>
    <row r="16" spans="1:13" ht="12.75">
      <c r="A16" s="8">
        <v>5</v>
      </c>
      <c r="B16" s="19" t="s">
        <v>480</v>
      </c>
      <c r="C16" s="9">
        <v>785</v>
      </c>
      <c r="D16" s="343">
        <v>1149.59</v>
      </c>
      <c r="E16" s="9">
        <f>796+28</f>
        <v>824</v>
      </c>
      <c r="F16" s="343">
        <f>1100.31+49.28</f>
        <v>1149.59</v>
      </c>
      <c r="G16" s="9">
        <v>0</v>
      </c>
      <c r="H16" s="343">
        <v>0</v>
      </c>
      <c r="I16" s="9">
        <v>0</v>
      </c>
      <c r="J16" s="343">
        <f t="shared" si="0"/>
        <v>0</v>
      </c>
      <c r="K16" s="9">
        <v>91</v>
      </c>
      <c r="L16" s="434"/>
      <c r="M16" s="344"/>
    </row>
    <row r="17" spans="1:13" ht="12.75">
      <c r="A17" s="8">
        <v>6</v>
      </c>
      <c r="B17" s="19" t="s">
        <v>481</v>
      </c>
      <c r="C17" s="9">
        <v>396</v>
      </c>
      <c r="D17" s="343">
        <v>578.98</v>
      </c>
      <c r="E17" s="9">
        <f>397+18</f>
        <v>415</v>
      </c>
      <c r="F17" s="343">
        <f>548.77+30.21</f>
        <v>578.98</v>
      </c>
      <c r="G17" s="9">
        <v>0</v>
      </c>
      <c r="H17" s="343">
        <v>0</v>
      </c>
      <c r="I17" s="9">
        <v>0</v>
      </c>
      <c r="J17" s="343">
        <f t="shared" si="0"/>
        <v>0</v>
      </c>
      <c r="K17" s="9">
        <v>0</v>
      </c>
      <c r="L17" s="434"/>
      <c r="M17" s="344"/>
    </row>
    <row r="18" spans="1:13" ht="12.75">
      <c r="A18" s="8">
        <v>7</v>
      </c>
      <c r="B18" s="19" t="s">
        <v>482</v>
      </c>
      <c r="C18" s="9">
        <v>561</v>
      </c>
      <c r="D18" s="343">
        <v>821.73</v>
      </c>
      <c r="E18" s="9">
        <f>573+16</f>
        <v>589</v>
      </c>
      <c r="F18" s="343">
        <f>792.06+29.67</f>
        <v>821.7299999999999</v>
      </c>
      <c r="G18" s="9">
        <v>0</v>
      </c>
      <c r="H18" s="343">
        <v>0</v>
      </c>
      <c r="I18" s="9">
        <v>0</v>
      </c>
      <c r="J18" s="343">
        <f t="shared" si="0"/>
        <v>0</v>
      </c>
      <c r="K18" s="9">
        <v>43</v>
      </c>
      <c r="L18" s="434"/>
      <c r="M18" s="344"/>
    </row>
    <row r="19" spans="1:13" s="13" customFormat="1" ht="12.75">
      <c r="A19" s="8">
        <v>8</v>
      </c>
      <c r="B19" s="19" t="s">
        <v>483</v>
      </c>
      <c r="C19" s="9">
        <v>939</v>
      </c>
      <c r="D19" s="343">
        <v>1374.21</v>
      </c>
      <c r="E19" s="9">
        <f>949+36</f>
        <v>985</v>
      </c>
      <c r="F19" s="343">
        <f>1311.8+62.41</f>
        <v>1374.21</v>
      </c>
      <c r="G19" s="9">
        <v>0</v>
      </c>
      <c r="H19" s="343">
        <v>0</v>
      </c>
      <c r="I19" s="9">
        <v>0</v>
      </c>
      <c r="J19" s="343">
        <f t="shared" si="0"/>
        <v>0</v>
      </c>
      <c r="K19" s="9">
        <v>152</v>
      </c>
      <c r="L19" s="434"/>
      <c r="M19" s="344"/>
    </row>
    <row r="20" spans="1:13" s="13" customFormat="1" ht="12.75">
      <c r="A20" s="3"/>
      <c r="B20" s="27" t="s">
        <v>484</v>
      </c>
      <c r="C20" s="27">
        <f>SUM(C12:C19)</f>
        <v>5304</v>
      </c>
      <c r="D20" s="369">
        <f aca="true" t="shared" si="1" ref="D20:K20">SUM(D12:D19)</f>
        <v>7763.929999999999</v>
      </c>
      <c r="E20" s="27">
        <f t="shared" si="1"/>
        <v>5565</v>
      </c>
      <c r="F20" s="27">
        <f t="shared" si="1"/>
        <v>7763.929999999999</v>
      </c>
      <c r="G20" s="27">
        <f t="shared" si="1"/>
        <v>0</v>
      </c>
      <c r="H20" s="369">
        <f t="shared" si="1"/>
        <v>0</v>
      </c>
      <c r="I20" s="27">
        <f t="shared" si="1"/>
        <v>0</v>
      </c>
      <c r="J20" s="369">
        <f t="shared" si="1"/>
        <v>0</v>
      </c>
      <c r="K20" s="27">
        <f t="shared" si="1"/>
        <v>562</v>
      </c>
      <c r="L20" s="435"/>
      <c r="M20" s="435"/>
    </row>
    <row r="21" s="13" customFormat="1" ht="12.75">
      <c r="A21" s="11" t="s">
        <v>38</v>
      </c>
    </row>
    <row r="22" s="13" customFormat="1" ht="12.75">
      <c r="A22" s="11"/>
    </row>
    <row r="23" spans="1:4" s="13" customFormat="1" ht="12.75">
      <c r="A23" s="11"/>
      <c r="D23" s="21" t="s">
        <v>10</v>
      </c>
    </row>
    <row r="24" spans="2:16" s="16" customFormat="1" ht="13.5" customHeight="1">
      <c r="B24" s="86"/>
      <c r="C24" s="86"/>
      <c r="D24" s="86"/>
      <c r="E24" s="86"/>
      <c r="F24" s="86"/>
      <c r="G24" s="86"/>
      <c r="H24" s="86"/>
      <c r="I24" s="667"/>
      <c r="J24" s="667"/>
      <c r="K24" s="86"/>
      <c r="L24" s="86"/>
      <c r="M24" s="86"/>
      <c r="N24" s="86"/>
      <c r="O24" s="86"/>
      <c r="P24" s="86"/>
    </row>
    <row r="25" spans="2:16" s="16" customFormat="1" ht="12.75" customHeight="1">
      <c r="B25" s="86"/>
      <c r="C25" s="86"/>
      <c r="D25" s="86"/>
      <c r="E25" s="86"/>
      <c r="F25" s="86"/>
      <c r="G25" s="86"/>
      <c r="H25" s="86"/>
      <c r="I25" s="667" t="s">
        <v>819</v>
      </c>
      <c r="J25" s="667"/>
      <c r="K25" s="86"/>
      <c r="L25" s="86"/>
      <c r="M25" s="86"/>
      <c r="N25" s="86"/>
      <c r="O25" s="86"/>
      <c r="P25" s="86"/>
    </row>
    <row r="26" spans="2:16" s="16" customFormat="1" ht="12.75" customHeight="1">
      <c r="B26" s="86"/>
      <c r="C26" s="86"/>
      <c r="D26" s="86"/>
      <c r="E26" s="86"/>
      <c r="F26" s="86"/>
      <c r="G26" s="86"/>
      <c r="H26" s="86"/>
      <c r="I26" s="667" t="s">
        <v>488</v>
      </c>
      <c r="J26" s="667"/>
      <c r="K26" s="86"/>
      <c r="L26" s="86"/>
      <c r="M26" s="86"/>
      <c r="N26" s="86"/>
      <c r="O26" s="86"/>
      <c r="P26" s="86"/>
    </row>
    <row r="27" spans="1:9" s="16" customFormat="1" ht="12.75">
      <c r="A27" s="15" t="s">
        <v>18</v>
      </c>
      <c r="B27" s="15"/>
      <c r="C27" s="15"/>
      <c r="D27" s="15"/>
      <c r="E27" s="15"/>
      <c r="F27" s="15"/>
      <c r="H27" s="697" t="s">
        <v>547</v>
      </c>
      <c r="I27" s="697"/>
    </row>
    <row r="28" s="16" customFormat="1" ht="12.75">
      <c r="A28" s="15"/>
    </row>
    <row r="29" spans="1:10" ht="12.75">
      <c r="A29" s="746"/>
      <c r="B29" s="746"/>
      <c r="C29" s="746"/>
      <c r="D29" s="746"/>
      <c r="E29" s="746"/>
      <c r="F29" s="746"/>
      <c r="G29" s="746"/>
      <c r="H29" s="746"/>
      <c r="I29" s="746"/>
      <c r="J29" s="746"/>
    </row>
    <row r="30" spans="4:6" ht="12.75">
      <c r="D30" s="344"/>
      <c r="F30" s="344"/>
    </row>
    <row r="31" spans="4:6" ht="12.75">
      <c r="D31" s="344"/>
      <c r="F31" s="344"/>
    </row>
    <row r="32" spans="4:6" ht="12.75">
      <c r="D32" s="344"/>
      <c r="F32" s="344"/>
    </row>
    <row r="33" spans="4:6" ht="12.75">
      <c r="D33" s="344"/>
      <c r="F33" s="344"/>
    </row>
    <row r="34" spans="4:6" ht="12.75">
      <c r="D34" s="344"/>
      <c r="F34" s="344"/>
    </row>
    <row r="35" spans="4:6" ht="12.75">
      <c r="D35" s="344"/>
      <c r="F35" s="344"/>
    </row>
    <row r="36" spans="4:6" ht="12.75">
      <c r="D36" s="344"/>
      <c r="F36" s="344"/>
    </row>
    <row r="37" spans="4:6" ht="12.75">
      <c r="D37" s="344"/>
      <c r="F37" s="344"/>
    </row>
    <row r="38" spans="4:6" ht="12.75">
      <c r="D38" s="344"/>
      <c r="E38" s="344"/>
      <c r="F38" s="344"/>
    </row>
  </sheetData>
  <sheetProtection/>
  <mergeCells count="21">
    <mergeCell ref="G9:H9"/>
    <mergeCell ref="A29:J29"/>
    <mergeCell ref="E9:F9"/>
    <mergeCell ref="C9:D9"/>
    <mergeCell ref="H27:I27"/>
    <mergeCell ref="I9:J9"/>
    <mergeCell ref="I26:J26"/>
    <mergeCell ref="A9:A10"/>
    <mergeCell ref="B9:B10"/>
    <mergeCell ref="I25:J25"/>
    <mergeCell ref="I24:J24"/>
    <mergeCell ref="D1:E1"/>
    <mergeCell ref="A5:K5"/>
    <mergeCell ref="I7:K7"/>
    <mergeCell ref="K9:K10"/>
    <mergeCell ref="J1:K1"/>
    <mergeCell ref="A2:J2"/>
    <mergeCell ref="A3:J3"/>
    <mergeCell ref="C8:J8"/>
    <mergeCell ref="A7:B7"/>
    <mergeCell ref="E7:H7"/>
  </mergeCells>
  <printOptions horizontalCentered="1"/>
  <pageMargins left="0.48" right="0.19" top="1.27" bottom="0" header="0.9" footer="0.31496062992125984"/>
  <pageSetup fitToHeight="1" fitToWidth="1" horizontalDpi="600" verticalDpi="600" orientation="landscape" paperSize="9" scale="96" r:id="rId1"/>
</worksheet>
</file>

<file path=xl/worksheets/sheet37.xml><?xml version="1.0" encoding="utf-8"?>
<worksheet xmlns="http://schemas.openxmlformats.org/spreadsheetml/2006/main" xmlns:r="http://schemas.openxmlformats.org/officeDocument/2006/relationships">
  <sheetPr>
    <pageSetUpPr fitToPage="1"/>
  </sheetPr>
  <dimension ref="A1:S36"/>
  <sheetViews>
    <sheetView view="pageBreakPreview" zoomScaleSheetLayoutView="100" zoomScalePageLayoutView="0" workbookViewId="0" topLeftCell="A4">
      <selection activeCell="K20" sqref="K20"/>
    </sheetView>
  </sheetViews>
  <sheetFormatPr defaultColWidth="9.140625" defaultRowHeight="12.75"/>
  <cols>
    <col min="1" max="1" width="5.140625" style="0" customWidth="1"/>
    <col min="2" max="2" width="14.28125" style="0" customWidth="1"/>
    <col min="3" max="3" width="16.28125" style="0" customWidth="1"/>
    <col min="4" max="4" width="15.8515625" style="0" customWidth="1"/>
    <col min="5" max="5" width="9.28125" style="0" customWidth="1"/>
    <col min="6" max="6" width="13.57421875" style="0" customWidth="1"/>
    <col min="7" max="7" width="9.7109375" style="0" customWidth="1"/>
    <col min="8" max="8" width="12.28125" style="0" customWidth="1"/>
    <col min="9" max="9" width="15.28125" style="0" customWidth="1"/>
    <col min="10" max="10" width="18.28125" style="0" customWidth="1"/>
    <col min="11" max="11" width="15.00390625" style="0" customWidth="1"/>
  </cols>
  <sheetData>
    <row r="1" spans="4:11" ht="15">
      <c r="D1" s="697"/>
      <c r="E1" s="697"/>
      <c r="H1" s="44"/>
      <c r="J1" s="744" t="s">
        <v>65</v>
      </c>
      <c r="K1" s="744"/>
    </row>
    <row r="2" spans="1:10" ht="15">
      <c r="A2" s="751" t="s">
        <v>0</v>
      </c>
      <c r="B2" s="751"/>
      <c r="C2" s="751"/>
      <c r="D2" s="751"/>
      <c r="E2" s="751"/>
      <c r="F2" s="751"/>
      <c r="G2" s="751"/>
      <c r="H2" s="751"/>
      <c r="I2" s="751"/>
      <c r="J2" s="751"/>
    </row>
    <row r="3" spans="1:10" ht="18">
      <c r="A3" s="778" t="s">
        <v>854</v>
      </c>
      <c r="B3" s="778"/>
      <c r="C3" s="778"/>
      <c r="D3" s="778"/>
      <c r="E3" s="778"/>
      <c r="F3" s="778"/>
      <c r="G3" s="778"/>
      <c r="H3" s="778"/>
      <c r="I3" s="778"/>
      <c r="J3" s="778"/>
    </row>
    <row r="4" ht="10.5" customHeight="1"/>
    <row r="5" spans="1:12" s="16" customFormat="1" ht="15.75" customHeight="1">
      <c r="A5" s="864" t="s">
        <v>441</v>
      </c>
      <c r="B5" s="864"/>
      <c r="C5" s="864"/>
      <c r="D5" s="864"/>
      <c r="E5" s="864"/>
      <c r="F5" s="864"/>
      <c r="G5" s="864"/>
      <c r="H5" s="864"/>
      <c r="I5" s="864"/>
      <c r="J5" s="864"/>
      <c r="K5" s="864"/>
      <c r="L5" s="864"/>
    </row>
    <row r="6" spans="1:10" s="16" customFormat="1" ht="15.75" customHeight="1">
      <c r="A6" s="47"/>
      <c r="B6" s="47"/>
      <c r="C6" s="47"/>
      <c r="D6" s="47"/>
      <c r="E6" s="47"/>
      <c r="F6" s="47"/>
      <c r="G6" s="47"/>
      <c r="H6" s="47"/>
      <c r="I6" s="47"/>
      <c r="J6" s="47"/>
    </row>
    <row r="7" spans="1:11" s="16" customFormat="1" ht="12.75">
      <c r="A7" s="699" t="s">
        <v>475</v>
      </c>
      <c r="B7" s="699"/>
      <c r="I7" s="861" t="s">
        <v>952</v>
      </c>
      <c r="J7" s="861"/>
      <c r="K7" s="861"/>
    </row>
    <row r="8" spans="3:10" s="14" customFormat="1" ht="15.75" hidden="1">
      <c r="C8" s="751" t="s">
        <v>12</v>
      </c>
      <c r="D8" s="751"/>
      <c r="E8" s="751"/>
      <c r="F8" s="751"/>
      <c r="G8" s="751"/>
      <c r="H8" s="751"/>
      <c r="I8" s="751"/>
      <c r="J8" s="751"/>
    </row>
    <row r="9" spans="1:19" s="270" customFormat="1" ht="41.25" customHeight="1">
      <c r="A9" s="714" t="s">
        <v>21</v>
      </c>
      <c r="B9" s="714" t="s">
        <v>34</v>
      </c>
      <c r="C9" s="683" t="s">
        <v>923</v>
      </c>
      <c r="D9" s="684"/>
      <c r="E9" s="683" t="s">
        <v>685</v>
      </c>
      <c r="F9" s="684"/>
      <c r="G9" s="683" t="s">
        <v>36</v>
      </c>
      <c r="H9" s="684"/>
      <c r="I9" s="653" t="s">
        <v>101</v>
      </c>
      <c r="J9" s="653"/>
      <c r="K9" s="714" t="s">
        <v>240</v>
      </c>
      <c r="R9" s="271"/>
      <c r="S9" s="272"/>
    </row>
    <row r="10" spans="1:11" s="282" customFormat="1" ht="48.75" customHeight="1">
      <c r="A10" s="716"/>
      <c r="B10" s="716"/>
      <c r="C10" s="257" t="s">
        <v>37</v>
      </c>
      <c r="D10" s="257" t="s">
        <v>557</v>
      </c>
      <c r="E10" s="257" t="s">
        <v>37</v>
      </c>
      <c r="F10" s="257" t="s">
        <v>502</v>
      </c>
      <c r="G10" s="257" t="s">
        <v>37</v>
      </c>
      <c r="H10" s="257" t="s">
        <v>100</v>
      </c>
      <c r="I10" s="257" t="s">
        <v>134</v>
      </c>
      <c r="J10" s="257" t="s">
        <v>686</v>
      </c>
      <c r="K10" s="716"/>
    </row>
    <row r="11" spans="1:11" ht="12.75">
      <c r="A11" s="8">
        <v>1</v>
      </c>
      <c r="B11" s="8">
        <v>2</v>
      </c>
      <c r="C11" s="8">
        <v>3</v>
      </c>
      <c r="D11" s="8">
        <v>4</v>
      </c>
      <c r="E11" s="8">
        <v>5</v>
      </c>
      <c r="F11" s="8">
        <v>6</v>
      </c>
      <c r="G11" s="8">
        <v>7</v>
      </c>
      <c r="H11" s="8">
        <v>8</v>
      </c>
      <c r="I11" s="8">
        <v>9</v>
      </c>
      <c r="J11" s="8">
        <v>10</v>
      </c>
      <c r="K11" s="8">
        <v>11</v>
      </c>
    </row>
    <row r="12" spans="1:12" ht="15" customHeight="1">
      <c r="A12" s="8">
        <v>1</v>
      </c>
      <c r="B12" s="19" t="s">
        <v>476</v>
      </c>
      <c r="C12" s="9">
        <v>941</v>
      </c>
      <c r="D12" s="343">
        <f>C12*5000/100000</f>
        <v>47.05</v>
      </c>
      <c r="E12" s="9">
        <f>C12</f>
        <v>941</v>
      </c>
      <c r="F12" s="343">
        <f>E12*5000/100000</f>
        <v>47.05</v>
      </c>
      <c r="G12" s="9">
        <v>0</v>
      </c>
      <c r="H12" s="9">
        <v>0</v>
      </c>
      <c r="I12" s="9">
        <f>C12-(E12+G12)</f>
        <v>0</v>
      </c>
      <c r="J12" s="343">
        <f>D12-(F12+H12)</f>
        <v>0</v>
      </c>
      <c r="K12" s="9">
        <v>1</v>
      </c>
      <c r="L12" s="436"/>
    </row>
    <row r="13" spans="1:12" ht="15" customHeight="1">
      <c r="A13" s="8">
        <v>2</v>
      </c>
      <c r="B13" s="19" t="s">
        <v>477</v>
      </c>
      <c r="C13" s="9">
        <v>888</v>
      </c>
      <c r="D13" s="343">
        <f aca="true" t="shared" si="0" ref="D13:D19">C13*5000/100000</f>
        <v>44.4</v>
      </c>
      <c r="E13" s="9">
        <f aca="true" t="shared" si="1" ref="E13:E19">C13</f>
        <v>888</v>
      </c>
      <c r="F13" s="343">
        <f aca="true" t="shared" si="2" ref="F13:F19">E13*5000/100000</f>
        <v>44.4</v>
      </c>
      <c r="G13" s="9">
        <v>0</v>
      </c>
      <c r="H13" s="9">
        <v>0</v>
      </c>
      <c r="I13" s="9">
        <f aca="true" t="shared" si="3" ref="I13:I19">C13-(E13+G13)</f>
        <v>0</v>
      </c>
      <c r="J13" s="343">
        <f aca="true" t="shared" si="4" ref="J13:J19">D13-(F13+H13)</f>
        <v>0</v>
      </c>
      <c r="K13" s="9">
        <v>0</v>
      </c>
      <c r="L13" s="436"/>
    </row>
    <row r="14" spans="1:12" ht="15" customHeight="1">
      <c r="A14" s="8">
        <v>3</v>
      </c>
      <c r="B14" s="19" t="s">
        <v>478</v>
      </c>
      <c r="C14" s="9">
        <v>681</v>
      </c>
      <c r="D14" s="343">
        <f t="shared" si="0"/>
        <v>34.05</v>
      </c>
      <c r="E14" s="9">
        <f t="shared" si="1"/>
        <v>681</v>
      </c>
      <c r="F14" s="343">
        <f t="shared" si="2"/>
        <v>34.05</v>
      </c>
      <c r="G14" s="9">
        <v>0</v>
      </c>
      <c r="H14" s="9">
        <v>0</v>
      </c>
      <c r="I14" s="9">
        <f t="shared" si="3"/>
        <v>0</v>
      </c>
      <c r="J14" s="343">
        <f t="shared" si="4"/>
        <v>0</v>
      </c>
      <c r="K14" s="9">
        <v>0</v>
      </c>
      <c r="L14" s="436"/>
    </row>
    <row r="15" spans="1:12" ht="15" customHeight="1">
      <c r="A15" s="8">
        <v>4</v>
      </c>
      <c r="B15" s="19" t="s">
        <v>479</v>
      </c>
      <c r="C15" s="9">
        <v>819</v>
      </c>
      <c r="D15" s="343">
        <f t="shared" si="0"/>
        <v>40.95</v>
      </c>
      <c r="E15" s="9">
        <f t="shared" si="1"/>
        <v>819</v>
      </c>
      <c r="F15" s="343">
        <f t="shared" si="2"/>
        <v>40.95</v>
      </c>
      <c r="G15" s="9">
        <v>0</v>
      </c>
      <c r="H15" s="9">
        <v>0</v>
      </c>
      <c r="I15" s="9">
        <f t="shared" si="3"/>
        <v>0</v>
      </c>
      <c r="J15" s="343">
        <f t="shared" si="4"/>
        <v>0</v>
      </c>
      <c r="K15" s="9">
        <v>0</v>
      </c>
      <c r="L15" s="437"/>
    </row>
    <row r="16" spans="1:12" ht="15" customHeight="1">
      <c r="A16" s="8">
        <v>5</v>
      </c>
      <c r="B16" s="19" t="s">
        <v>480</v>
      </c>
      <c r="C16" s="9">
        <v>929</v>
      </c>
      <c r="D16" s="343">
        <f t="shared" si="0"/>
        <v>46.45</v>
      </c>
      <c r="E16" s="9">
        <f t="shared" si="1"/>
        <v>929</v>
      </c>
      <c r="F16" s="343">
        <f t="shared" si="2"/>
        <v>46.45</v>
      </c>
      <c r="G16" s="9">
        <v>0</v>
      </c>
      <c r="H16" s="9">
        <v>0</v>
      </c>
      <c r="I16" s="9">
        <f t="shared" si="3"/>
        <v>0</v>
      </c>
      <c r="J16" s="343">
        <f t="shared" si="4"/>
        <v>0</v>
      </c>
      <c r="K16" s="9">
        <v>0</v>
      </c>
      <c r="L16" s="437"/>
    </row>
    <row r="17" spans="1:12" ht="15" customHeight="1">
      <c r="A17" s="8">
        <v>6</v>
      </c>
      <c r="B17" s="19" t="s">
        <v>481</v>
      </c>
      <c r="C17" s="9">
        <v>486</v>
      </c>
      <c r="D17" s="343">
        <f t="shared" si="0"/>
        <v>24.3</v>
      </c>
      <c r="E17" s="9">
        <f t="shared" si="1"/>
        <v>486</v>
      </c>
      <c r="F17" s="343">
        <f t="shared" si="2"/>
        <v>24.3</v>
      </c>
      <c r="G17" s="9">
        <v>0</v>
      </c>
      <c r="H17" s="9">
        <v>0</v>
      </c>
      <c r="I17" s="9">
        <f t="shared" si="3"/>
        <v>0</v>
      </c>
      <c r="J17" s="343">
        <f t="shared" si="4"/>
        <v>0</v>
      </c>
      <c r="K17" s="9">
        <v>0</v>
      </c>
      <c r="L17" s="437"/>
    </row>
    <row r="18" spans="1:12" ht="15" customHeight="1">
      <c r="A18" s="8">
        <v>7</v>
      </c>
      <c r="B18" s="19" t="s">
        <v>482</v>
      </c>
      <c r="C18" s="9">
        <v>717</v>
      </c>
      <c r="D18" s="343">
        <f t="shared" si="0"/>
        <v>35.85</v>
      </c>
      <c r="E18" s="9">
        <f t="shared" si="1"/>
        <v>717</v>
      </c>
      <c r="F18" s="343">
        <f t="shared" si="2"/>
        <v>35.85</v>
      </c>
      <c r="G18" s="9">
        <v>0</v>
      </c>
      <c r="H18" s="9">
        <v>0</v>
      </c>
      <c r="I18" s="9">
        <f t="shared" si="3"/>
        <v>0</v>
      </c>
      <c r="J18" s="343">
        <f t="shared" si="4"/>
        <v>0</v>
      </c>
      <c r="K18" s="9">
        <v>0</v>
      </c>
      <c r="L18" s="437"/>
    </row>
    <row r="19" spans="1:14" s="13" customFormat="1" ht="15" customHeight="1">
      <c r="A19" s="8">
        <v>8</v>
      </c>
      <c r="B19" s="19" t="s">
        <v>483</v>
      </c>
      <c r="C19" s="9">
        <v>1158</v>
      </c>
      <c r="D19" s="343">
        <f t="shared" si="0"/>
        <v>57.9</v>
      </c>
      <c r="E19" s="9">
        <f t="shared" si="1"/>
        <v>1158</v>
      </c>
      <c r="F19" s="343">
        <f t="shared" si="2"/>
        <v>57.9</v>
      </c>
      <c r="G19" s="9">
        <v>0</v>
      </c>
      <c r="H19" s="9">
        <v>0</v>
      </c>
      <c r="I19" s="9">
        <f t="shared" si="3"/>
        <v>0</v>
      </c>
      <c r="J19" s="343">
        <f t="shared" si="4"/>
        <v>0</v>
      </c>
      <c r="K19" s="9">
        <v>0</v>
      </c>
      <c r="L19" s="437"/>
      <c r="M19"/>
      <c r="N19"/>
    </row>
    <row r="20" spans="1:13" s="13" customFormat="1" ht="12.75">
      <c r="A20" s="3"/>
      <c r="B20" s="27" t="s">
        <v>484</v>
      </c>
      <c r="C20" s="9">
        <f>SUM(C12:C19)</f>
        <v>6619</v>
      </c>
      <c r="D20" s="9">
        <f>SUM(D12:D19)</f>
        <v>330.95</v>
      </c>
      <c r="E20" s="186">
        <f>SUM(E12:E19)</f>
        <v>6619</v>
      </c>
      <c r="F20" s="186">
        <f aca="true" t="shared" si="5" ref="F20:K20">SUM(F12:F19)</f>
        <v>330.95</v>
      </c>
      <c r="G20" s="9">
        <f t="shared" si="5"/>
        <v>0</v>
      </c>
      <c r="H20" s="9">
        <f t="shared" si="5"/>
        <v>0</v>
      </c>
      <c r="I20" s="9">
        <f t="shared" si="5"/>
        <v>0</v>
      </c>
      <c r="J20" s="343">
        <f t="shared" si="5"/>
        <v>0</v>
      </c>
      <c r="K20" s="9">
        <f t="shared" si="5"/>
        <v>1</v>
      </c>
      <c r="L20" s="436"/>
      <c r="M20" s="436"/>
    </row>
    <row r="21" s="13" customFormat="1" ht="12" customHeight="1"/>
    <row r="22" s="13" customFormat="1" ht="12.75">
      <c r="A22" s="11" t="s">
        <v>38</v>
      </c>
    </row>
    <row r="23" s="13" customFormat="1" ht="12.75">
      <c r="A23" s="11"/>
    </row>
    <row r="24" spans="1:11" s="13" customFormat="1" ht="9.75" customHeight="1">
      <c r="A24" s="11"/>
      <c r="K24" s="21" t="s">
        <v>10</v>
      </c>
    </row>
    <row r="25" spans="2:16" s="16" customFormat="1" ht="13.5" customHeight="1">
      <c r="B25" s="86"/>
      <c r="C25" s="498"/>
      <c r="D25" s="86"/>
      <c r="E25" s="86"/>
      <c r="F25" s="86"/>
      <c r="G25" s="86"/>
      <c r="H25" s="86"/>
      <c r="I25" s="667"/>
      <c r="J25" s="667"/>
      <c r="K25" s="86"/>
      <c r="L25" s="86"/>
      <c r="M25" s="86"/>
      <c r="N25" s="86"/>
      <c r="O25" s="86"/>
      <c r="P25" s="86"/>
    </row>
    <row r="26" spans="2:16" s="16" customFormat="1" ht="12.75" customHeight="1">
      <c r="B26" s="86"/>
      <c r="C26" s="498"/>
      <c r="D26" s="86"/>
      <c r="E26" s="86"/>
      <c r="F26" s="86"/>
      <c r="G26" s="86"/>
      <c r="H26" s="86"/>
      <c r="I26" s="667" t="s">
        <v>819</v>
      </c>
      <c r="J26" s="667"/>
      <c r="K26" s="86"/>
      <c r="L26" s="86"/>
      <c r="M26" s="86"/>
      <c r="N26" s="86"/>
      <c r="O26" s="86"/>
      <c r="P26" s="86"/>
    </row>
    <row r="27" spans="2:16" s="16" customFormat="1" ht="12.75" customHeight="1">
      <c r="B27" s="86"/>
      <c r="C27" s="498"/>
      <c r="D27" s="86"/>
      <c r="E27" s="86"/>
      <c r="F27" s="86"/>
      <c r="G27" s="86"/>
      <c r="H27" s="86"/>
      <c r="I27" s="667" t="s">
        <v>488</v>
      </c>
      <c r="J27" s="667"/>
      <c r="K27" s="86"/>
      <c r="L27" s="86"/>
      <c r="M27" s="86"/>
      <c r="N27" s="86"/>
      <c r="O27" s="86"/>
      <c r="P27" s="86"/>
    </row>
    <row r="28" spans="1:9" s="16" customFormat="1" ht="12.75">
      <c r="A28" s="15" t="s">
        <v>18</v>
      </c>
      <c r="B28" s="15"/>
      <c r="C28" s="498"/>
      <c r="D28" s="86"/>
      <c r="E28" s="15"/>
      <c r="F28" s="15"/>
      <c r="H28" s="697" t="s">
        <v>547</v>
      </c>
      <c r="I28" s="697"/>
    </row>
    <row r="29" spans="1:4" s="16" customFormat="1" ht="12.75">
      <c r="A29" s="15"/>
      <c r="C29" s="498"/>
      <c r="D29" s="86"/>
    </row>
    <row r="30" spans="1:10" ht="12.75">
      <c r="A30" s="492"/>
      <c r="B30" s="492"/>
      <c r="C30" s="498"/>
      <c r="D30" s="86"/>
      <c r="E30" s="492"/>
      <c r="F30" s="492"/>
      <c r="G30" s="492"/>
      <c r="H30" s="492"/>
      <c r="I30" s="492"/>
      <c r="J30" s="492"/>
    </row>
    <row r="31" spans="3:4" ht="12.75">
      <c r="C31" s="498"/>
      <c r="D31" s="86"/>
    </row>
    <row r="32" spans="3:4" ht="12.75">
      <c r="C32" s="498"/>
      <c r="D32" s="86"/>
    </row>
    <row r="33" ht="12.75">
      <c r="C33" s="498"/>
    </row>
    <row r="34" ht="12.75">
      <c r="C34" s="498"/>
    </row>
    <row r="35" ht="12.75">
      <c r="C35" s="498"/>
    </row>
    <row r="36" ht="12.75">
      <c r="C36" s="498"/>
    </row>
  </sheetData>
  <sheetProtection/>
  <mergeCells count="19">
    <mergeCell ref="I25:J25"/>
    <mergeCell ref="H28:I28"/>
    <mergeCell ref="G9:H9"/>
    <mergeCell ref="I7:K7"/>
    <mergeCell ref="J1:K1"/>
    <mergeCell ref="I9:J9"/>
    <mergeCell ref="A5:L5"/>
    <mergeCell ref="K9:K10"/>
    <mergeCell ref="I27:J27"/>
    <mergeCell ref="I26:J26"/>
    <mergeCell ref="D1:E1"/>
    <mergeCell ref="A2:J2"/>
    <mergeCell ref="A3:J3"/>
    <mergeCell ref="A7:B7"/>
    <mergeCell ref="C8:J8"/>
    <mergeCell ref="A9:A10"/>
    <mergeCell ref="B9:B10"/>
    <mergeCell ref="E9:F9"/>
    <mergeCell ref="C9:D9"/>
  </mergeCells>
  <printOptions horizontalCentered="1"/>
  <pageMargins left="0.7086614173228347" right="0.34" top="1.16" bottom="0" header="0.78" footer="0.31496062992125984"/>
  <pageSetup fitToHeight="1" fitToWidth="1" horizontalDpi="600" verticalDpi="600" orientation="landscape" paperSize="9" scale="95" r:id="rId1"/>
</worksheet>
</file>

<file path=xl/worksheets/sheet38.xml><?xml version="1.0" encoding="utf-8"?>
<worksheet xmlns="http://schemas.openxmlformats.org/spreadsheetml/2006/main" xmlns:r="http://schemas.openxmlformats.org/officeDocument/2006/relationships">
  <sheetPr>
    <pageSetUpPr fitToPage="1"/>
  </sheetPr>
  <dimension ref="A1:S40"/>
  <sheetViews>
    <sheetView view="pageBreakPreview" zoomScaleSheetLayoutView="100" zoomScalePageLayoutView="0" workbookViewId="0" topLeftCell="A4">
      <selection activeCell="A24" sqref="A24"/>
    </sheetView>
  </sheetViews>
  <sheetFormatPr defaultColWidth="9.140625" defaultRowHeight="12.75"/>
  <cols>
    <col min="1" max="1" width="5.421875" style="0" customWidth="1"/>
    <col min="2" max="2" width="15.8515625" style="0" customWidth="1"/>
    <col min="3" max="3" width="16.28125" style="0" customWidth="1"/>
    <col min="4" max="4" width="14.421875" style="0" customWidth="1"/>
    <col min="5" max="5" width="9.28125" style="0" customWidth="1"/>
    <col min="6" max="6" width="13.57421875" style="0" customWidth="1"/>
    <col min="7" max="7" width="9.7109375" style="0" customWidth="1"/>
    <col min="8" max="8" width="11.57421875" style="0" customWidth="1"/>
    <col min="9" max="9" width="17.57421875" style="0" customWidth="1"/>
    <col min="10" max="10" width="19.28125" style="0" customWidth="1"/>
    <col min="11" max="11" width="15.00390625" style="0" customWidth="1"/>
    <col min="12" max="12" width="9.57421875" style="0" bestFit="1" customWidth="1"/>
  </cols>
  <sheetData>
    <row r="1" spans="4:11" ht="15">
      <c r="D1" s="697"/>
      <c r="E1" s="697"/>
      <c r="H1" s="44"/>
      <c r="J1" s="744" t="s">
        <v>539</v>
      </c>
      <c r="K1" s="744"/>
    </row>
    <row r="2" spans="1:11" ht="15">
      <c r="A2" s="751" t="s">
        <v>0</v>
      </c>
      <c r="B2" s="751"/>
      <c r="C2" s="751"/>
      <c r="D2" s="751"/>
      <c r="E2" s="751"/>
      <c r="F2" s="751"/>
      <c r="G2" s="751"/>
      <c r="H2" s="751"/>
      <c r="I2" s="751"/>
      <c r="J2" s="751"/>
      <c r="K2" s="751"/>
    </row>
    <row r="3" spans="1:11" ht="18">
      <c r="A3" s="778" t="s">
        <v>854</v>
      </c>
      <c r="B3" s="778"/>
      <c r="C3" s="778"/>
      <c r="D3" s="778"/>
      <c r="E3" s="778"/>
      <c r="F3" s="778"/>
      <c r="G3" s="778"/>
      <c r="H3" s="778"/>
      <c r="I3" s="778"/>
      <c r="J3" s="778"/>
      <c r="K3" s="778"/>
    </row>
    <row r="4" ht="10.5" customHeight="1"/>
    <row r="5" spans="1:12" s="16" customFormat="1" ht="15.75" customHeight="1">
      <c r="A5" s="865" t="s">
        <v>658</v>
      </c>
      <c r="B5" s="865"/>
      <c r="C5" s="865"/>
      <c r="D5" s="865"/>
      <c r="E5" s="865"/>
      <c r="F5" s="865"/>
      <c r="G5" s="865"/>
      <c r="H5" s="865"/>
      <c r="I5" s="865"/>
      <c r="J5" s="865"/>
      <c r="K5" s="865"/>
      <c r="L5" s="565"/>
    </row>
    <row r="6" spans="1:10" s="16" customFormat="1" ht="15.75" customHeight="1">
      <c r="A6" s="47"/>
      <c r="B6" s="47"/>
      <c r="C6" s="47"/>
      <c r="D6" s="47"/>
      <c r="E6" s="47"/>
      <c r="F6" s="47"/>
      <c r="G6" s="47"/>
      <c r="H6" s="47"/>
      <c r="I6" s="47"/>
      <c r="J6" s="47"/>
    </row>
    <row r="7" spans="1:11" s="16" customFormat="1" ht="12.75">
      <c r="A7" s="699" t="s">
        <v>475</v>
      </c>
      <c r="B7" s="699"/>
      <c r="I7" s="861" t="s">
        <v>952</v>
      </c>
      <c r="J7" s="861"/>
      <c r="K7" s="861"/>
    </row>
    <row r="8" spans="3:10" s="14" customFormat="1" ht="15.75" hidden="1">
      <c r="C8" s="751" t="s">
        <v>12</v>
      </c>
      <c r="D8" s="751"/>
      <c r="E8" s="751"/>
      <c r="F8" s="751"/>
      <c r="G8" s="751"/>
      <c r="H8" s="751"/>
      <c r="I8" s="751"/>
      <c r="J8" s="751"/>
    </row>
    <row r="9" spans="1:19" s="260" customFormat="1" ht="35.25" customHeight="1">
      <c r="A9" s="714" t="s">
        <v>21</v>
      </c>
      <c r="B9" s="714" t="s">
        <v>34</v>
      </c>
      <c r="C9" s="683" t="s">
        <v>924</v>
      </c>
      <c r="D9" s="684"/>
      <c r="E9" s="683" t="s">
        <v>685</v>
      </c>
      <c r="F9" s="684"/>
      <c r="G9" s="683" t="s">
        <v>36</v>
      </c>
      <c r="H9" s="684"/>
      <c r="I9" s="653" t="s">
        <v>101</v>
      </c>
      <c r="J9" s="653"/>
      <c r="K9" s="714" t="s">
        <v>240</v>
      </c>
      <c r="R9" s="268"/>
      <c r="S9" s="269"/>
    </row>
    <row r="10" spans="1:11" s="258" customFormat="1" ht="46.5" customHeight="1">
      <c r="A10" s="716"/>
      <c r="B10" s="716"/>
      <c r="C10" s="257" t="s">
        <v>37</v>
      </c>
      <c r="D10" s="257" t="s">
        <v>752</v>
      </c>
      <c r="E10" s="257" t="s">
        <v>37</v>
      </c>
      <c r="F10" s="257" t="s">
        <v>753</v>
      </c>
      <c r="G10" s="257" t="s">
        <v>37</v>
      </c>
      <c r="H10" s="257" t="s">
        <v>100</v>
      </c>
      <c r="I10" s="257" t="s">
        <v>134</v>
      </c>
      <c r="J10" s="257" t="s">
        <v>687</v>
      </c>
      <c r="K10" s="716"/>
    </row>
    <row r="11" spans="1:11" ht="12.75">
      <c r="A11" s="8">
        <v>1</v>
      </c>
      <c r="B11" s="8">
        <v>2</v>
      </c>
      <c r="C11" s="8">
        <v>3</v>
      </c>
      <c r="D11" s="8">
        <v>4</v>
      </c>
      <c r="E11" s="8">
        <v>5</v>
      </c>
      <c r="F11" s="8">
        <v>6</v>
      </c>
      <c r="G11" s="8">
        <v>7</v>
      </c>
      <c r="H11" s="8">
        <v>8</v>
      </c>
      <c r="I11" s="8">
        <v>9</v>
      </c>
      <c r="J11" s="8">
        <v>10</v>
      </c>
      <c r="K11" s="8">
        <v>11</v>
      </c>
    </row>
    <row r="12" spans="1:13" ht="16.5" customHeight="1">
      <c r="A12" s="8">
        <v>1</v>
      </c>
      <c r="B12" s="19" t="s">
        <v>476</v>
      </c>
      <c r="C12" s="9">
        <v>715</v>
      </c>
      <c r="D12" s="343">
        <f>C12*5000/100000</f>
        <v>35.75</v>
      </c>
      <c r="E12" s="9">
        <f>C12</f>
        <v>715</v>
      </c>
      <c r="F12" s="343">
        <f>D12</f>
        <v>35.75</v>
      </c>
      <c r="G12" s="9">
        <v>0</v>
      </c>
      <c r="H12" s="9">
        <v>0</v>
      </c>
      <c r="I12" s="9">
        <f>C12-(E12+G12)</f>
        <v>0</v>
      </c>
      <c r="J12" s="9">
        <f>D12-(F12+H12)</f>
        <v>0</v>
      </c>
      <c r="K12" s="9">
        <v>0</v>
      </c>
      <c r="L12" s="347"/>
      <c r="M12" s="347"/>
    </row>
    <row r="13" spans="1:13" ht="16.5" customHeight="1">
      <c r="A13" s="8">
        <v>2</v>
      </c>
      <c r="B13" s="19" t="s">
        <v>477</v>
      </c>
      <c r="C13" s="9">
        <v>665</v>
      </c>
      <c r="D13" s="343">
        <f aca="true" t="shared" si="0" ref="D13:D19">C13*5000/100000</f>
        <v>33.25</v>
      </c>
      <c r="E13" s="9">
        <f aca="true" t="shared" si="1" ref="E13:E19">C13</f>
        <v>665</v>
      </c>
      <c r="F13" s="343">
        <f aca="true" t="shared" si="2" ref="F13:F19">D13</f>
        <v>33.25</v>
      </c>
      <c r="G13" s="9">
        <v>0</v>
      </c>
      <c r="H13" s="9">
        <v>0</v>
      </c>
      <c r="I13" s="9">
        <f aca="true" t="shared" si="3" ref="I13:I19">C13-(E13+G13)</f>
        <v>0</v>
      </c>
      <c r="J13" s="9">
        <f aca="true" t="shared" si="4" ref="J13:J19">D13-(F13+H13)</f>
        <v>0</v>
      </c>
      <c r="K13" s="9">
        <v>0</v>
      </c>
      <c r="L13" s="347"/>
      <c r="M13" s="347"/>
    </row>
    <row r="14" spans="1:13" ht="16.5" customHeight="1">
      <c r="A14" s="8">
        <v>3</v>
      </c>
      <c r="B14" s="19" t="s">
        <v>478</v>
      </c>
      <c r="C14" s="9">
        <v>512</v>
      </c>
      <c r="D14" s="343">
        <f t="shared" si="0"/>
        <v>25.6</v>
      </c>
      <c r="E14" s="9">
        <f t="shared" si="1"/>
        <v>512</v>
      </c>
      <c r="F14" s="343">
        <f t="shared" si="2"/>
        <v>25.6</v>
      </c>
      <c r="G14" s="9">
        <v>0</v>
      </c>
      <c r="H14" s="9">
        <v>0</v>
      </c>
      <c r="I14" s="9">
        <f t="shared" si="3"/>
        <v>0</v>
      </c>
      <c r="J14" s="9">
        <f t="shared" si="4"/>
        <v>0</v>
      </c>
      <c r="K14" s="9">
        <v>0</v>
      </c>
      <c r="L14" s="347"/>
      <c r="M14" s="347"/>
    </row>
    <row r="15" spans="1:13" ht="16.5" customHeight="1">
      <c r="A15" s="8">
        <v>4</v>
      </c>
      <c r="B15" s="19" t="s">
        <v>479</v>
      </c>
      <c r="C15" s="9">
        <v>614</v>
      </c>
      <c r="D15" s="343">
        <f t="shared" si="0"/>
        <v>30.7</v>
      </c>
      <c r="E15" s="9">
        <f t="shared" si="1"/>
        <v>614</v>
      </c>
      <c r="F15" s="343">
        <f t="shared" si="2"/>
        <v>30.7</v>
      </c>
      <c r="G15" s="9">
        <v>0</v>
      </c>
      <c r="H15" s="9">
        <v>0</v>
      </c>
      <c r="I15" s="9">
        <f t="shared" si="3"/>
        <v>0</v>
      </c>
      <c r="J15" s="9">
        <f t="shared" si="4"/>
        <v>0</v>
      </c>
      <c r="K15" s="9">
        <v>0</v>
      </c>
      <c r="L15" s="347"/>
      <c r="M15" s="347"/>
    </row>
    <row r="16" spans="1:13" ht="16.5" customHeight="1">
      <c r="A16" s="8">
        <v>5</v>
      </c>
      <c r="B16" s="19" t="s">
        <v>480</v>
      </c>
      <c r="C16" s="9">
        <v>697</v>
      </c>
      <c r="D16" s="343">
        <f t="shared" si="0"/>
        <v>34.85</v>
      </c>
      <c r="E16" s="9">
        <f t="shared" si="1"/>
        <v>697</v>
      </c>
      <c r="F16" s="343">
        <f t="shared" si="2"/>
        <v>34.85</v>
      </c>
      <c r="G16" s="9">
        <v>0</v>
      </c>
      <c r="H16" s="9">
        <v>0</v>
      </c>
      <c r="I16" s="9">
        <f t="shared" si="3"/>
        <v>0</v>
      </c>
      <c r="J16" s="9">
        <f t="shared" si="4"/>
        <v>0</v>
      </c>
      <c r="K16" s="9">
        <v>0</v>
      </c>
      <c r="L16" s="347"/>
      <c r="M16" s="347"/>
    </row>
    <row r="17" spans="1:13" ht="16.5" customHeight="1">
      <c r="A17" s="8">
        <v>6</v>
      </c>
      <c r="B17" s="19" t="s">
        <v>481</v>
      </c>
      <c r="C17" s="9">
        <v>364</v>
      </c>
      <c r="D17" s="343">
        <f t="shared" si="0"/>
        <v>18.2</v>
      </c>
      <c r="E17" s="9">
        <f t="shared" si="1"/>
        <v>364</v>
      </c>
      <c r="F17" s="343">
        <f t="shared" si="2"/>
        <v>18.2</v>
      </c>
      <c r="G17" s="9">
        <v>0</v>
      </c>
      <c r="H17" s="9">
        <v>0</v>
      </c>
      <c r="I17" s="9">
        <f t="shared" si="3"/>
        <v>0</v>
      </c>
      <c r="J17" s="9">
        <f t="shared" si="4"/>
        <v>0</v>
      </c>
      <c r="K17" s="9">
        <v>0</v>
      </c>
      <c r="L17" s="347"/>
      <c r="M17" s="347"/>
    </row>
    <row r="18" spans="1:13" ht="16.5" customHeight="1">
      <c r="A18" s="8">
        <v>7</v>
      </c>
      <c r="B18" s="19" t="s">
        <v>482</v>
      </c>
      <c r="C18" s="9">
        <v>540</v>
      </c>
      <c r="D18" s="343">
        <f t="shared" si="0"/>
        <v>27</v>
      </c>
      <c r="E18" s="9">
        <f t="shared" si="1"/>
        <v>540</v>
      </c>
      <c r="F18" s="343">
        <f t="shared" si="2"/>
        <v>27</v>
      </c>
      <c r="G18" s="9">
        <v>0</v>
      </c>
      <c r="H18" s="9">
        <v>0</v>
      </c>
      <c r="I18" s="9">
        <f t="shared" si="3"/>
        <v>0</v>
      </c>
      <c r="J18" s="9">
        <f t="shared" si="4"/>
        <v>0</v>
      </c>
      <c r="K18" s="9">
        <v>0</v>
      </c>
      <c r="L18" s="347"/>
      <c r="M18" s="347"/>
    </row>
    <row r="19" spans="1:13" s="13" customFormat="1" ht="16.5" customHeight="1">
      <c r="A19" s="8">
        <v>8</v>
      </c>
      <c r="B19" s="19" t="s">
        <v>483</v>
      </c>
      <c r="C19" s="9">
        <v>868</v>
      </c>
      <c r="D19" s="343">
        <f t="shared" si="0"/>
        <v>43.4</v>
      </c>
      <c r="E19" s="9">
        <f t="shared" si="1"/>
        <v>868</v>
      </c>
      <c r="F19" s="343">
        <f t="shared" si="2"/>
        <v>43.4</v>
      </c>
      <c r="G19" s="9">
        <v>0</v>
      </c>
      <c r="H19" s="9">
        <v>0</v>
      </c>
      <c r="I19" s="9">
        <f t="shared" si="3"/>
        <v>0</v>
      </c>
      <c r="J19" s="9">
        <f t="shared" si="4"/>
        <v>0</v>
      </c>
      <c r="K19" s="9">
        <v>0</v>
      </c>
      <c r="L19" s="347"/>
      <c r="M19" s="347"/>
    </row>
    <row r="20" spans="1:12" s="13" customFormat="1" ht="16.5" customHeight="1">
      <c r="A20" s="3"/>
      <c r="B20" s="27" t="s">
        <v>484</v>
      </c>
      <c r="C20" s="186">
        <f>SUM(C12:C19)</f>
        <v>4975</v>
      </c>
      <c r="D20" s="616">
        <f aca="true" t="shared" si="5" ref="D20:K20">SUM(D12:D19)</f>
        <v>248.75</v>
      </c>
      <c r="E20" s="186">
        <f t="shared" si="5"/>
        <v>4975</v>
      </c>
      <c r="F20" s="616">
        <f t="shared" si="5"/>
        <v>248.75</v>
      </c>
      <c r="G20" s="9">
        <f t="shared" si="5"/>
        <v>0</v>
      </c>
      <c r="H20" s="9">
        <f t="shared" si="5"/>
        <v>0</v>
      </c>
      <c r="I20" s="9">
        <f t="shared" si="5"/>
        <v>0</v>
      </c>
      <c r="J20" s="9">
        <f t="shared" si="5"/>
        <v>0</v>
      </c>
      <c r="K20" s="9">
        <f t="shared" si="5"/>
        <v>0</v>
      </c>
      <c r="L20" s="347"/>
    </row>
    <row r="21" s="13" customFormat="1" ht="12.75">
      <c r="C21" s="436"/>
    </row>
    <row r="22" s="13" customFormat="1" ht="12.75" customHeight="1">
      <c r="A22" s="11" t="s">
        <v>38</v>
      </c>
    </row>
    <row r="23" spans="1:2" s="13" customFormat="1" ht="12.75" customHeight="1">
      <c r="A23" s="20" t="s">
        <v>559</v>
      </c>
      <c r="B23" s="621" t="s">
        <v>1054</v>
      </c>
    </row>
    <row r="24" s="13" customFormat="1" ht="12.75" customHeight="1">
      <c r="A24" s="11"/>
    </row>
    <row r="25" spans="3:6" ht="19.5" customHeight="1">
      <c r="C25" s="866"/>
      <c r="D25" s="866"/>
      <c r="E25" s="866"/>
      <c r="F25" s="866"/>
    </row>
    <row r="26" spans="2:16" s="16" customFormat="1" ht="12.75" customHeight="1">
      <c r="B26" s="86"/>
      <c r="C26" s="498"/>
      <c r="D26" s="86"/>
      <c r="E26" s="86"/>
      <c r="F26" s="86"/>
      <c r="G26" s="86"/>
      <c r="H26" s="86"/>
      <c r="I26" s="667" t="s">
        <v>819</v>
      </c>
      <c r="J26" s="667"/>
      <c r="K26" s="86"/>
      <c r="L26" s="86"/>
      <c r="M26" s="86"/>
      <c r="N26" s="86"/>
      <c r="O26" s="86"/>
      <c r="P26" s="86"/>
    </row>
    <row r="27" spans="2:16" s="16" customFormat="1" ht="12.75" customHeight="1">
      <c r="B27" s="86"/>
      <c r="C27" s="498"/>
      <c r="D27" s="86"/>
      <c r="E27" s="86"/>
      <c r="F27" s="86"/>
      <c r="G27" s="86"/>
      <c r="H27" s="86"/>
      <c r="I27" s="667" t="s">
        <v>488</v>
      </c>
      <c r="J27" s="667"/>
      <c r="K27" s="86"/>
      <c r="L27" s="86"/>
      <c r="M27" s="86"/>
      <c r="N27" s="86"/>
      <c r="O27" s="86"/>
      <c r="P27" s="86"/>
    </row>
    <row r="28" spans="1:9" s="16" customFormat="1" ht="12.75">
      <c r="A28" s="15" t="s">
        <v>18</v>
      </c>
      <c r="B28" s="15"/>
      <c r="C28" s="498"/>
      <c r="D28" s="86"/>
      <c r="E28" s="15"/>
      <c r="F28" s="15"/>
      <c r="H28" s="697" t="s">
        <v>547</v>
      </c>
      <c r="I28" s="697"/>
    </row>
    <row r="29" spans="1:4" s="16" customFormat="1" ht="12.75">
      <c r="A29" s="15"/>
      <c r="C29" s="498"/>
      <c r="D29" s="86"/>
    </row>
    <row r="30" spans="1:10" ht="12.75">
      <c r="A30" s="492"/>
      <c r="B30" s="492"/>
      <c r="C30" s="498"/>
      <c r="D30" s="86"/>
      <c r="E30" s="492"/>
      <c r="F30" s="492"/>
      <c r="G30" s="492"/>
      <c r="H30" s="492"/>
      <c r="I30" s="492"/>
      <c r="J30" s="492"/>
    </row>
    <row r="31" spans="3:4" ht="12.75">
      <c r="C31" s="498"/>
      <c r="D31" s="86"/>
    </row>
    <row r="32" spans="2:7" ht="12.75">
      <c r="B32" s="346"/>
      <c r="C32" s="498"/>
      <c r="D32" s="86"/>
      <c r="G32" s="345"/>
    </row>
    <row r="33" spans="3:10" ht="12.75">
      <c r="C33" s="86"/>
      <c r="D33" s="86"/>
      <c r="J33" s="347"/>
    </row>
    <row r="34" spans="3:10" ht="12.75">
      <c r="C34" s="86"/>
      <c r="J34" s="347"/>
    </row>
    <row r="35" spans="3:10" ht="12.75">
      <c r="C35" s="86"/>
      <c r="J35" s="347"/>
    </row>
    <row r="36" ht="12.75">
      <c r="J36" s="347"/>
    </row>
    <row r="37" ht="12.75">
      <c r="J37" s="347"/>
    </row>
    <row r="38" ht="12.75">
      <c r="J38" s="347"/>
    </row>
    <row r="39" ht="12.75">
      <c r="J39" s="347"/>
    </row>
    <row r="40" ht="12.75">
      <c r="J40" s="347"/>
    </row>
  </sheetData>
  <sheetProtection/>
  <mergeCells count="19">
    <mergeCell ref="K9:K10"/>
    <mergeCell ref="C25:F25"/>
    <mergeCell ref="H28:I28"/>
    <mergeCell ref="I27:J27"/>
    <mergeCell ref="I26:J26"/>
    <mergeCell ref="C8:J8"/>
    <mergeCell ref="A9:A10"/>
    <mergeCell ref="B9:B10"/>
    <mergeCell ref="C9:D9"/>
    <mergeCell ref="E9:F9"/>
    <mergeCell ref="G9:H9"/>
    <mergeCell ref="I9:J9"/>
    <mergeCell ref="A7:B7"/>
    <mergeCell ref="I7:K7"/>
    <mergeCell ref="D1:E1"/>
    <mergeCell ref="J1:K1"/>
    <mergeCell ref="A2:K2"/>
    <mergeCell ref="A3:K3"/>
    <mergeCell ref="A5:K5"/>
  </mergeCells>
  <printOptions horizontalCentered="1"/>
  <pageMargins left="0.7086614173228347" right="0.28" top="1.19" bottom="0" header="0.9" footer="0.31496062992125984"/>
  <pageSetup fitToHeight="1" fitToWidth="1" horizontalDpi="600" verticalDpi="600" orientation="landscape" paperSize="9" scale="94" r:id="rId1"/>
</worksheet>
</file>

<file path=xl/worksheets/sheet39.xml><?xml version="1.0" encoding="utf-8"?>
<worksheet xmlns="http://schemas.openxmlformats.org/spreadsheetml/2006/main" xmlns:r="http://schemas.openxmlformats.org/officeDocument/2006/relationships">
  <sheetPr>
    <pageSetUpPr fitToPage="1"/>
  </sheetPr>
  <dimension ref="A1:O25"/>
  <sheetViews>
    <sheetView view="pageBreakPreview" zoomScaleSheetLayoutView="100" zoomScalePageLayoutView="0" workbookViewId="0" topLeftCell="A1">
      <selection activeCell="H18" sqref="H18"/>
    </sheetView>
  </sheetViews>
  <sheetFormatPr defaultColWidth="9.140625" defaultRowHeight="12.75"/>
  <cols>
    <col min="1" max="1" width="7.140625" style="0" customWidth="1"/>
    <col min="2" max="2" width="16.28125" style="0" customWidth="1"/>
    <col min="3" max="3" width="14.57421875" style="0" customWidth="1"/>
    <col min="4" max="4" width="13.00390625" style="423" customWidth="1"/>
    <col min="5" max="5" width="14.140625" style="423" customWidth="1"/>
    <col min="6" max="6" width="16.57421875" style="423" customWidth="1"/>
    <col min="7" max="7" width="19.28125" style="423" customWidth="1"/>
    <col min="8" max="8" width="16.00390625" style="423" customWidth="1"/>
  </cols>
  <sheetData>
    <row r="1" ht="12.75">
      <c r="H1" s="424" t="s">
        <v>708</v>
      </c>
    </row>
    <row r="2" spans="1:15" ht="18">
      <c r="A2" s="739" t="s">
        <v>0</v>
      </c>
      <c r="B2" s="739"/>
      <c r="C2" s="739"/>
      <c r="D2" s="739"/>
      <c r="E2" s="739"/>
      <c r="F2" s="739"/>
      <c r="G2" s="739"/>
      <c r="H2" s="739"/>
      <c r="I2" s="208"/>
      <c r="J2" s="208"/>
      <c r="K2" s="208"/>
      <c r="L2" s="208"/>
      <c r="M2" s="208"/>
      <c r="N2" s="208"/>
      <c r="O2" s="208"/>
    </row>
    <row r="3" spans="1:15" ht="21">
      <c r="A3" s="740" t="s">
        <v>854</v>
      </c>
      <c r="B3" s="740"/>
      <c r="C3" s="740"/>
      <c r="D3" s="740"/>
      <c r="E3" s="740"/>
      <c r="F3" s="740"/>
      <c r="G3" s="740"/>
      <c r="H3" s="740"/>
      <c r="I3" s="209"/>
      <c r="J3" s="209"/>
      <c r="K3" s="209"/>
      <c r="L3" s="209"/>
      <c r="M3" s="209"/>
      <c r="N3" s="209"/>
      <c r="O3" s="209"/>
    </row>
    <row r="4" spans="1:15" ht="15">
      <c r="A4" s="183"/>
      <c r="B4" s="183"/>
      <c r="C4" s="183"/>
      <c r="D4" s="421"/>
      <c r="E4" s="421"/>
      <c r="F4" s="421"/>
      <c r="G4" s="421"/>
      <c r="H4" s="421"/>
      <c r="I4" s="183"/>
      <c r="J4" s="183"/>
      <c r="K4" s="183"/>
      <c r="L4" s="183"/>
      <c r="M4" s="183"/>
      <c r="N4" s="183"/>
      <c r="O4" s="183"/>
    </row>
    <row r="5" spans="1:15" ht="18">
      <c r="A5" s="739" t="s">
        <v>709</v>
      </c>
      <c r="B5" s="739"/>
      <c r="C5" s="739"/>
      <c r="D5" s="739"/>
      <c r="E5" s="739"/>
      <c r="F5" s="739"/>
      <c r="G5" s="739"/>
      <c r="H5" s="739"/>
      <c r="I5" s="208"/>
      <c r="J5" s="208"/>
      <c r="K5" s="208"/>
      <c r="L5" s="208"/>
      <c r="M5" s="208"/>
      <c r="N5" s="208"/>
      <c r="O5" s="208"/>
    </row>
    <row r="6" spans="1:15" ht="15">
      <c r="A6" s="184" t="s">
        <v>657</v>
      </c>
      <c r="B6" s="184"/>
      <c r="C6" s="183"/>
      <c r="D6" s="421"/>
      <c r="E6" s="421"/>
      <c r="F6" s="421"/>
      <c r="G6" s="867" t="s">
        <v>856</v>
      </c>
      <c r="H6" s="867"/>
      <c r="I6" s="183"/>
      <c r="J6" s="183"/>
      <c r="K6" s="183"/>
      <c r="L6" s="422"/>
      <c r="M6" s="422"/>
      <c r="N6" s="868"/>
      <c r="O6" s="868"/>
    </row>
    <row r="7" spans="1:8" ht="21" customHeight="1">
      <c r="A7" s="848" t="s">
        <v>2</v>
      </c>
      <c r="B7" s="848" t="s">
        <v>3</v>
      </c>
      <c r="C7" s="869" t="s">
        <v>393</v>
      </c>
      <c r="D7" s="870" t="s">
        <v>641</v>
      </c>
      <c r="E7" s="871"/>
      <c r="F7" s="871"/>
      <c r="G7" s="871"/>
      <c r="H7" s="872"/>
    </row>
    <row r="8" spans="1:8" ht="31.5" customHeight="1">
      <c r="A8" s="848"/>
      <c r="B8" s="848"/>
      <c r="C8" s="869"/>
      <c r="D8" s="425" t="s">
        <v>642</v>
      </c>
      <c r="E8" s="425" t="s">
        <v>643</v>
      </c>
      <c r="F8" s="425" t="s">
        <v>644</v>
      </c>
      <c r="G8" s="425" t="s">
        <v>800</v>
      </c>
      <c r="H8" s="425" t="s">
        <v>44</v>
      </c>
    </row>
    <row r="9" spans="1:8" ht="15">
      <c r="A9" s="210">
        <v>1</v>
      </c>
      <c r="B9" s="210">
        <v>2</v>
      </c>
      <c r="C9" s="210">
        <v>3</v>
      </c>
      <c r="D9" s="210">
        <v>4</v>
      </c>
      <c r="E9" s="210">
        <v>5</v>
      </c>
      <c r="F9" s="210">
        <v>6</v>
      </c>
      <c r="G9" s="210">
        <v>7</v>
      </c>
      <c r="H9" s="210">
        <v>8</v>
      </c>
    </row>
    <row r="10" spans="1:8" ht="12.75">
      <c r="A10" s="8">
        <v>1</v>
      </c>
      <c r="B10" s="19" t="s">
        <v>476</v>
      </c>
      <c r="C10" s="9">
        <f>'AT-23'!D13</f>
        <v>917</v>
      </c>
      <c r="D10" s="186">
        <f>569+30</f>
        <v>599</v>
      </c>
      <c r="E10" s="186">
        <v>0</v>
      </c>
      <c r="F10" s="186">
        <f>C10-D10</f>
        <v>318</v>
      </c>
      <c r="G10" s="186">
        <v>0</v>
      </c>
      <c r="H10" s="186">
        <v>0</v>
      </c>
    </row>
    <row r="11" spans="1:8" ht="12.75">
      <c r="A11" s="8">
        <v>2</v>
      </c>
      <c r="B11" s="19" t="s">
        <v>477</v>
      </c>
      <c r="C11" s="9">
        <f>'AT-23'!D14</f>
        <v>875</v>
      </c>
      <c r="D11" s="186">
        <v>161</v>
      </c>
      <c r="E11" s="186">
        <v>0</v>
      </c>
      <c r="F11" s="186">
        <f aca="true" t="shared" si="0" ref="F11:F17">C11-D11</f>
        <v>714</v>
      </c>
      <c r="G11" s="186">
        <v>0</v>
      </c>
      <c r="H11" s="186">
        <v>0</v>
      </c>
    </row>
    <row r="12" spans="1:8" ht="12.75">
      <c r="A12" s="8">
        <v>3</v>
      </c>
      <c r="B12" s="19" t="s">
        <v>478</v>
      </c>
      <c r="C12" s="9">
        <f>'AT-23'!D15</f>
        <v>668</v>
      </c>
      <c r="D12" s="186">
        <v>181</v>
      </c>
      <c r="E12" s="186">
        <v>0</v>
      </c>
      <c r="F12" s="186">
        <f t="shared" si="0"/>
        <v>487</v>
      </c>
      <c r="G12" s="186">
        <v>0</v>
      </c>
      <c r="H12" s="186">
        <v>0</v>
      </c>
    </row>
    <row r="13" spans="1:8" ht="12.75">
      <c r="A13" s="8">
        <v>4</v>
      </c>
      <c r="B13" s="19" t="s">
        <v>479</v>
      </c>
      <c r="C13" s="9">
        <f>'AT-23'!D16</f>
        <v>810</v>
      </c>
      <c r="D13" s="186">
        <v>205</v>
      </c>
      <c r="E13" s="186">
        <v>0</v>
      </c>
      <c r="F13" s="186">
        <f t="shared" si="0"/>
        <v>605</v>
      </c>
      <c r="G13" s="186">
        <v>0</v>
      </c>
      <c r="H13" s="186">
        <v>0</v>
      </c>
    </row>
    <row r="14" spans="1:8" ht="12.75">
      <c r="A14" s="8">
        <v>5</v>
      </c>
      <c r="B14" s="19" t="s">
        <v>480</v>
      </c>
      <c r="C14" s="9">
        <f>'AT-23'!D17</f>
        <v>925</v>
      </c>
      <c r="D14" s="186">
        <v>151</v>
      </c>
      <c r="E14" s="186">
        <v>0</v>
      </c>
      <c r="F14" s="186">
        <f t="shared" si="0"/>
        <v>774</v>
      </c>
      <c r="G14" s="186">
        <v>0</v>
      </c>
      <c r="H14" s="186">
        <v>0</v>
      </c>
    </row>
    <row r="15" spans="1:8" ht="12.75">
      <c r="A15" s="8">
        <v>6</v>
      </c>
      <c r="B15" s="19" t="s">
        <v>481</v>
      </c>
      <c r="C15" s="9">
        <f>'AT-23'!D18</f>
        <v>475</v>
      </c>
      <c r="D15" s="186">
        <v>138</v>
      </c>
      <c r="E15" s="186">
        <v>0</v>
      </c>
      <c r="F15" s="186">
        <f t="shared" si="0"/>
        <v>337</v>
      </c>
      <c r="G15" s="186">
        <v>0</v>
      </c>
      <c r="H15" s="186">
        <v>0</v>
      </c>
    </row>
    <row r="16" spans="1:8" ht="12.75">
      <c r="A16" s="8">
        <v>7</v>
      </c>
      <c r="B16" s="19" t="s">
        <v>482</v>
      </c>
      <c r="C16" s="9">
        <f>'AT-23'!D19</f>
        <v>719</v>
      </c>
      <c r="D16" s="186">
        <v>132</v>
      </c>
      <c r="E16" s="186">
        <v>0</v>
      </c>
      <c r="F16" s="186">
        <f t="shared" si="0"/>
        <v>587</v>
      </c>
      <c r="G16" s="186">
        <v>0</v>
      </c>
      <c r="H16" s="186">
        <v>0</v>
      </c>
    </row>
    <row r="17" spans="1:8" ht="12.75">
      <c r="A17" s="8">
        <v>8</v>
      </c>
      <c r="B17" s="19" t="s">
        <v>483</v>
      </c>
      <c r="C17" s="9">
        <f>'AT-23'!D20</f>
        <v>1140</v>
      </c>
      <c r="D17" s="186">
        <v>144</v>
      </c>
      <c r="E17" s="186">
        <v>0</v>
      </c>
      <c r="F17" s="186">
        <f t="shared" si="0"/>
        <v>996</v>
      </c>
      <c r="G17" s="186">
        <v>0</v>
      </c>
      <c r="H17" s="186">
        <v>0</v>
      </c>
    </row>
    <row r="18" spans="1:8" ht="15" customHeight="1">
      <c r="A18" s="137" t="s">
        <v>15</v>
      </c>
      <c r="B18" s="137"/>
      <c r="C18" s="137">
        <f aca="true" t="shared" si="1" ref="C18:H18">SUM(C10:C17)</f>
        <v>6529</v>
      </c>
      <c r="D18" s="137">
        <f t="shared" si="1"/>
        <v>1711</v>
      </c>
      <c r="E18" s="137">
        <f t="shared" si="1"/>
        <v>0</v>
      </c>
      <c r="F18" s="137">
        <f t="shared" si="1"/>
        <v>4818</v>
      </c>
      <c r="G18" s="137">
        <f t="shared" si="1"/>
        <v>0</v>
      </c>
      <c r="H18" s="137">
        <f t="shared" si="1"/>
        <v>0</v>
      </c>
    </row>
    <row r="19" spans="1:8" ht="15" customHeight="1">
      <c r="A19" s="188"/>
      <c r="B19" s="188"/>
      <c r="C19" s="188"/>
      <c r="D19" s="189"/>
      <c r="E19" s="189"/>
      <c r="F19" s="189"/>
      <c r="G19" s="189"/>
      <c r="H19" s="189"/>
    </row>
    <row r="20" spans="1:8" ht="15" customHeight="1">
      <c r="A20" s="188"/>
      <c r="B20" s="188"/>
      <c r="C20" s="188"/>
      <c r="D20" s="189"/>
      <c r="E20" s="189"/>
      <c r="F20" s="189"/>
      <c r="G20" s="189"/>
      <c r="H20" s="189"/>
    </row>
    <row r="21" spans="1:8" ht="15" customHeight="1">
      <c r="A21" s="188"/>
      <c r="B21" s="188"/>
      <c r="C21" s="188" t="s">
        <v>10</v>
      </c>
      <c r="D21" s="189" t="s">
        <v>10</v>
      </c>
      <c r="E21" s="189"/>
      <c r="F21" s="189" t="s">
        <v>10</v>
      </c>
      <c r="G21" s="189"/>
      <c r="H21" s="189"/>
    </row>
    <row r="22" spans="1:9" ht="15" customHeight="1">
      <c r="A22" s="188"/>
      <c r="B22" s="188"/>
      <c r="C22" s="188"/>
      <c r="F22" s="201"/>
      <c r="G22" s="743"/>
      <c r="H22" s="743"/>
      <c r="I22" s="201"/>
    </row>
    <row r="23" spans="1:9" ht="12.75" customHeight="1">
      <c r="A23" s="188" t="s">
        <v>11</v>
      </c>
      <c r="C23" s="188"/>
      <c r="F23" s="201"/>
      <c r="G23" s="743" t="s">
        <v>819</v>
      </c>
      <c r="H23" s="743"/>
      <c r="I23" s="201"/>
    </row>
    <row r="24" spans="6:9" ht="12.75" customHeight="1">
      <c r="F24" s="201"/>
      <c r="G24" s="743" t="s">
        <v>487</v>
      </c>
      <c r="H24" s="743"/>
      <c r="I24" s="201"/>
    </row>
    <row r="25" spans="7:9" ht="12.75">
      <c r="G25" s="192" t="s">
        <v>80</v>
      </c>
      <c r="H25" s="192"/>
      <c r="I25" s="188"/>
    </row>
  </sheetData>
  <sheetProtection/>
  <mergeCells count="12">
    <mergeCell ref="N6:O6"/>
    <mergeCell ref="C7:C8"/>
    <mergeCell ref="D7:H7"/>
    <mergeCell ref="A7:A8"/>
    <mergeCell ref="B7:B8"/>
    <mergeCell ref="G24:H24"/>
    <mergeCell ref="A2:H2"/>
    <mergeCell ref="A3:H3"/>
    <mergeCell ref="A5:H5"/>
    <mergeCell ref="G6:H6"/>
    <mergeCell ref="G22:H22"/>
    <mergeCell ref="G23:H23"/>
  </mergeCells>
  <printOptions horizontalCentered="1"/>
  <pageMargins left="0.7086614173228347" right="0.21" top="1.28" bottom="0" header="0.31496062992125984" footer="0.31496062992125984"/>
  <pageSetup fitToHeight="1" fitToWidth="1" horizontalDpi="600" verticalDpi="600" orientation="landscape" paperSize="9"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T48"/>
  <sheetViews>
    <sheetView view="pageBreakPreview" zoomScale="90" zoomScaleSheetLayoutView="90" zoomScalePageLayoutView="0" workbookViewId="0" topLeftCell="A1">
      <selection activeCell="A9" sqref="A9"/>
    </sheetView>
  </sheetViews>
  <sheetFormatPr defaultColWidth="9.140625" defaultRowHeight="12.75"/>
  <cols>
    <col min="1" max="1" width="9.28125" style="15" customWidth="1"/>
    <col min="2" max="5" width="8.57421875" style="15" customWidth="1"/>
    <col min="6" max="6" width="9.57421875" style="15" customWidth="1"/>
    <col min="7" max="7" width="8.57421875" style="15" customWidth="1"/>
    <col min="8" max="8" width="11.7109375" style="15" customWidth="1"/>
    <col min="9" max="15" width="8.57421875" style="15" customWidth="1"/>
    <col min="16" max="16" width="8.421875" style="15" customWidth="1"/>
    <col min="17" max="19" width="8.57421875" style="15" customWidth="1"/>
    <col min="20" max="16384" width="9.140625" style="15" customWidth="1"/>
  </cols>
  <sheetData>
    <row r="1" spans="1:19" ht="12.75">
      <c r="A1" s="15" t="s">
        <v>10</v>
      </c>
      <c r="H1" s="697"/>
      <c r="I1" s="697"/>
      <c r="R1" s="698" t="s">
        <v>52</v>
      </c>
      <c r="S1" s="698"/>
    </row>
    <row r="2" spans="1:20" s="14" customFormat="1" ht="15.75">
      <c r="A2" s="644" t="s">
        <v>0</v>
      </c>
      <c r="B2" s="644"/>
      <c r="C2" s="644"/>
      <c r="D2" s="644"/>
      <c r="E2" s="644"/>
      <c r="F2" s="644"/>
      <c r="G2" s="644"/>
      <c r="H2" s="644"/>
      <c r="I2" s="644"/>
      <c r="J2" s="644"/>
      <c r="K2" s="644"/>
      <c r="L2" s="644"/>
      <c r="M2" s="644"/>
      <c r="N2" s="644"/>
      <c r="O2" s="644"/>
      <c r="P2" s="644"/>
      <c r="Q2" s="644"/>
      <c r="R2" s="644"/>
      <c r="S2" s="644"/>
      <c r="T2" s="644"/>
    </row>
    <row r="3" spans="1:20" s="14" customFormat="1" ht="20.25" customHeight="1">
      <c r="A3" s="645" t="s">
        <v>854</v>
      </c>
      <c r="B3" s="645"/>
      <c r="C3" s="645"/>
      <c r="D3" s="645"/>
      <c r="E3" s="645"/>
      <c r="F3" s="645"/>
      <c r="G3" s="645"/>
      <c r="H3" s="645"/>
      <c r="I3" s="645"/>
      <c r="J3" s="645"/>
      <c r="K3" s="645"/>
      <c r="L3" s="645"/>
      <c r="M3" s="645"/>
      <c r="N3" s="645"/>
      <c r="O3" s="645"/>
      <c r="P3" s="645"/>
      <c r="Q3" s="645"/>
      <c r="R3" s="645"/>
      <c r="S3" s="645"/>
      <c r="T3" s="645"/>
    </row>
    <row r="5" spans="1:20" s="14" customFormat="1" ht="15.75">
      <c r="A5" s="646" t="s">
        <v>896</v>
      </c>
      <c r="B5" s="646"/>
      <c r="C5" s="646"/>
      <c r="D5" s="646"/>
      <c r="E5" s="646"/>
      <c r="F5" s="646"/>
      <c r="G5" s="646"/>
      <c r="H5" s="646"/>
      <c r="I5" s="646"/>
      <c r="J5" s="646"/>
      <c r="K5" s="646"/>
      <c r="L5" s="646"/>
      <c r="M5" s="646"/>
      <c r="N5" s="646"/>
      <c r="O5" s="646"/>
      <c r="P5" s="646"/>
      <c r="Q5" s="646"/>
      <c r="R5" s="646"/>
      <c r="S5" s="646"/>
      <c r="T5" s="646"/>
    </row>
    <row r="6" spans="1:2" ht="12.75">
      <c r="A6" s="699" t="s">
        <v>475</v>
      </c>
      <c r="B6" s="699"/>
    </row>
    <row r="7" spans="1:19" ht="12.75">
      <c r="A7" s="699" t="s">
        <v>630</v>
      </c>
      <c r="B7" s="699"/>
      <c r="C7" s="699"/>
      <c r="D7" s="699"/>
      <c r="E7" s="699"/>
      <c r="F7" s="699"/>
      <c r="G7" s="699"/>
      <c r="H7" s="699"/>
      <c r="I7" s="699"/>
      <c r="R7" s="28"/>
      <c r="S7" s="28"/>
    </row>
    <row r="9" spans="1:12" ht="18" customHeight="1">
      <c r="A9" s="5"/>
      <c r="B9" s="653" t="s">
        <v>40</v>
      </c>
      <c r="C9" s="653"/>
      <c r="D9" s="653" t="s">
        <v>41</v>
      </c>
      <c r="E9" s="653"/>
      <c r="F9" s="653" t="s">
        <v>42</v>
      </c>
      <c r="G9" s="653"/>
      <c r="H9" s="678" t="s">
        <v>43</v>
      </c>
      <c r="I9" s="678"/>
      <c r="J9" s="653" t="s">
        <v>44</v>
      </c>
      <c r="K9" s="653"/>
      <c r="L9" s="475" t="s">
        <v>15</v>
      </c>
    </row>
    <row r="10" spans="1:12" s="71" customFormat="1" ht="13.5" customHeight="1">
      <c r="A10" s="73">
        <v>1</v>
      </c>
      <c r="B10" s="676">
        <v>2</v>
      </c>
      <c r="C10" s="676"/>
      <c r="D10" s="676">
        <v>3</v>
      </c>
      <c r="E10" s="676"/>
      <c r="F10" s="676">
        <v>4</v>
      </c>
      <c r="G10" s="676"/>
      <c r="H10" s="676">
        <v>5</v>
      </c>
      <c r="I10" s="676"/>
      <c r="J10" s="676">
        <v>6</v>
      </c>
      <c r="K10" s="676"/>
      <c r="L10" s="73">
        <v>7</v>
      </c>
    </row>
    <row r="11" spans="1:12" ht="12.75">
      <c r="A11" s="3" t="s">
        <v>45</v>
      </c>
      <c r="B11" s="700">
        <v>104</v>
      </c>
      <c r="C11" s="700"/>
      <c r="D11" s="700">
        <v>439</v>
      </c>
      <c r="E11" s="700"/>
      <c r="F11" s="700">
        <v>76</v>
      </c>
      <c r="G11" s="700"/>
      <c r="H11" s="700">
        <v>69</v>
      </c>
      <c r="I11" s="700"/>
      <c r="J11" s="700">
        <v>50</v>
      </c>
      <c r="K11" s="700"/>
      <c r="L11" s="18">
        <f>SUM(B11:K11)</f>
        <v>738</v>
      </c>
    </row>
    <row r="12" spans="1:12" ht="12.75">
      <c r="A12" s="3" t="s">
        <v>46</v>
      </c>
      <c r="B12" s="700">
        <v>2127</v>
      </c>
      <c r="C12" s="700"/>
      <c r="D12" s="700">
        <v>4008</v>
      </c>
      <c r="E12" s="700"/>
      <c r="F12" s="700">
        <v>2224</v>
      </c>
      <c r="G12" s="700"/>
      <c r="H12" s="700">
        <v>701</v>
      </c>
      <c r="I12" s="700"/>
      <c r="J12" s="700">
        <v>1204</v>
      </c>
      <c r="K12" s="700"/>
      <c r="L12" s="18">
        <f>SUM(B12:K12)</f>
        <v>10264</v>
      </c>
    </row>
    <row r="13" spans="1:12" ht="12.75">
      <c r="A13" s="3" t="s">
        <v>15</v>
      </c>
      <c r="B13" s="647">
        <f>SUM(B11:B12)</f>
        <v>2231</v>
      </c>
      <c r="C13" s="647"/>
      <c r="D13" s="647">
        <f>SUM(D11:D12)</f>
        <v>4447</v>
      </c>
      <c r="E13" s="647"/>
      <c r="F13" s="647">
        <f>SUM(F11:F12)</f>
        <v>2300</v>
      </c>
      <c r="G13" s="647"/>
      <c r="H13" s="647">
        <f>SUM(H11:H12)</f>
        <v>770</v>
      </c>
      <c r="I13" s="647"/>
      <c r="J13" s="647">
        <f>SUM(J11:J12)</f>
        <v>1254</v>
      </c>
      <c r="K13" s="647"/>
      <c r="L13" s="609">
        <f>SUM(L11:L12)</f>
        <v>11002</v>
      </c>
    </row>
    <row r="14" spans="1:12" ht="12.75">
      <c r="A14" s="12"/>
      <c r="B14" s="12"/>
      <c r="C14" s="12"/>
      <c r="D14" s="12"/>
      <c r="E14" s="12"/>
      <c r="F14" s="12"/>
      <c r="G14" s="12"/>
      <c r="H14" s="12"/>
      <c r="I14" s="12"/>
      <c r="J14" s="12"/>
      <c r="K14" s="12"/>
      <c r="L14" s="12"/>
    </row>
    <row r="15" spans="1:12" ht="12.75">
      <c r="A15" s="648" t="s">
        <v>432</v>
      </c>
      <c r="B15" s="648"/>
      <c r="C15" s="648"/>
      <c r="D15" s="648"/>
      <c r="E15" s="648"/>
      <c r="F15" s="648"/>
      <c r="G15" s="648"/>
      <c r="H15" s="12"/>
      <c r="I15" s="12"/>
      <c r="J15" s="12"/>
      <c r="K15" s="12"/>
      <c r="L15" s="12"/>
    </row>
    <row r="16" spans="1:12" ht="12.75" customHeight="1">
      <c r="A16" s="650" t="s">
        <v>175</v>
      </c>
      <c r="B16" s="651"/>
      <c r="C16" s="649" t="s">
        <v>201</v>
      </c>
      <c r="D16" s="649"/>
      <c r="E16" s="3" t="s">
        <v>15</v>
      </c>
      <c r="I16" s="12"/>
      <c r="J16" s="12"/>
      <c r="K16" s="12"/>
      <c r="L16" s="12"/>
    </row>
    <row r="17" spans="1:12" ht="12.75">
      <c r="A17" s="655">
        <v>900</v>
      </c>
      <c r="B17" s="656"/>
      <c r="C17" s="655">
        <v>600</v>
      </c>
      <c r="D17" s="656"/>
      <c r="E17" s="3">
        <f>SUM(A17:D17)</f>
        <v>1500</v>
      </c>
      <c r="I17" s="12"/>
      <c r="J17" s="12"/>
      <c r="K17" s="12"/>
      <c r="L17" s="12"/>
    </row>
    <row r="18" spans="1:12" ht="12.75">
      <c r="A18" s="230"/>
      <c r="B18" s="230"/>
      <c r="C18" s="230"/>
      <c r="D18" s="230"/>
      <c r="E18" s="230"/>
      <c r="F18" s="230"/>
      <c r="G18" s="230"/>
      <c r="H18" s="12"/>
      <c r="I18" s="12"/>
      <c r="J18" s="12"/>
      <c r="K18" s="12"/>
      <c r="L18" s="12"/>
    </row>
    <row r="19" spans="1:19" ht="18.75" customHeight="1">
      <c r="A19" s="701" t="s">
        <v>629</v>
      </c>
      <c r="B19" s="701"/>
      <c r="C19" s="701"/>
      <c r="D19" s="701"/>
      <c r="E19" s="701"/>
      <c r="F19" s="701"/>
      <c r="G19" s="701"/>
      <c r="H19" s="701"/>
      <c r="I19" s="701"/>
      <c r="J19" s="701"/>
      <c r="K19" s="701"/>
      <c r="L19" s="701"/>
      <c r="M19" s="701"/>
      <c r="N19" s="701"/>
      <c r="O19" s="701"/>
      <c r="P19" s="701"/>
      <c r="Q19" s="701"/>
      <c r="R19" s="701"/>
      <c r="S19" s="701"/>
    </row>
    <row r="20" spans="1:20" s="258" customFormat="1" ht="12.75">
      <c r="A20" s="653" t="s">
        <v>21</v>
      </c>
      <c r="B20" s="653" t="s">
        <v>47</v>
      </c>
      <c r="C20" s="653"/>
      <c r="D20" s="653"/>
      <c r="E20" s="678" t="s">
        <v>22</v>
      </c>
      <c r="F20" s="678"/>
      <c r="G20" s="678"/>
      <c r="H20" s="678"/>
      <c r="I20" s="678"/>
      <c r="J20" s="678"/>
      <c r="K20" s="678"/>
      <c r="L20" s="678"/>
      <c r="M20" s="678" t="s">
        <v>23</v>
      </c>
      <c r="N20" s="678"/>
      <c r="O20" s="678"/>
      <c r="P20" s="678"/>
      <c r="Q20" s="678"/>
      <c r="R20" s="678"/>
      <c r="S20" s="678"/>
      <c r="T20" s="678"/>
    </row>
    <row r="21" spans="1:20" s="258" customFormat="1" ht="33.75" customHeight="1">
      <c r="A21" s="653"/>
      <c r="B21" s="653"/>
      <c r="C21" s="653"/>
      <c r="D21" s="653"/>
      <c r="E21" s="683" t="s">
        <v>131</v>
      </c>
      <c r="F21" s="684"/>
      <c r="G21" s="683" t="s">
        <v>169</v>
      </c>
      <c r="H21" s="684"/>
      <c r="I21" s="653" t="s">
        <v>48</v>
      </c>
      <c r="J21" s="653"/>
      <c r="K21" s="683" t="s">
        <v>90</v>
      </c>
      <c r="L21" s="684"/>
      <c r="M21" s="683" t="s">
        <v>91</v>
      </c>
      <c r="N21" s="684"/>
      <c r="O21" s="683" t="s">
        <v>169</v>
      </c>
      <c r="P21" s="684"/>
      <c r="Q21" s="653" t="s">
        <v>48</v>
      </c>
      <c r="R21" s="653"/>
      <c r="S21" s="653" t="s">
        <v>90</v>
      </c>
      <c r="T21" s="653"/>
    </row>
    <row r="22" spans="1:20" s="71" customFormat="1" ht="12.75" customHeight="1">
      <c r="A22" s="73">
        <v>1</v>
      </c>
      <c r="B22" s="691">
        <v>2</v>
      </c>
      <c r="C22" s="692"/>
      <c r="D22" s="693"/>
      <c r="E22" s="691">
        <v>3</v>
      </c>
      <c r="F22" s="693"/>
      <c r="G22" s="691">
        <v>4</v>
      </c>
      <c r="H22" s="693"/>
      <c r="I22" s="676">
        <v>5</v>
      </c>
      <c r="J22" s="676"/>
      <c r="K22" s="676">
        <v>6</v>
      </c>
      <c r="L22" s="676"/>
      <c r="M22" s="691">
        <v>3</v>
      </c>
      <c r="N22" s="693"/>
      <c r="O22" s="691">
        <v>4</v>
      </c>
      <c r="P22" s="693"/>
      <c r="Q22" s="676">
        <v>5</v>
      </c>
      <c r="R22" s="676"/>
      <c r="S22" s="676">
        <v>6</v>
      </c>
      <c r="T22" s="676"/>
    </row>
    <row r="23" spans="1:20" ht="12.75">
      <c r="A23" s="70">
        <v>1</v>
      </c>
      <c r="B23" s="694" t="s">
        <v>814</v>
      </c>
      <c r="C23" s="695"/>
      <c r="D23" s="696"/>
      <c r="E23" s="681" t="s">
        <v>505</v>
      </c>
      <c r="F23" s="682"/>
      <c r="G23" s="655" t="s">
        <v>355</v>
      </c>
      <c r="H23" s="656"/>
      <c r="I23" s="677">
        <v>340</v>
      </c>
      <c r="J23" s="677"/>
      <c r="K23" s="677">
        <v>8</v>
      </c>
      <c r="L23" s="677"/>
      <c r="M23" s="681" t="s">
        <v>507</v>
      </c>
      <c r="N23" s="682"/>
      <c r="O23" s="655" t="s">
        <v>355</v>
      </c>
      <c r="P23" s="656"/>
      <c r="Q23" s="677">
        <v>510</v>
      </c>
      <c r="R23" s="677"/>
      <c r="S23" s="677">
        <v>12</v>
      </c>
      <c r="T23" s="677"/>
    </row>
    <row r="24" spans="1:20" ht="12.75">
      <c r="A24" s="70">
        <v>2</v>
      </c>
      <c r="B24" s="685" t="s">
        <v>1041</v>
      </c>
      <c r="C24" s="686"/>
      <c r="D24" s="687"/>
      <c r="E24" s="689" t="s">
        <v>1042</v>
      </c>
      <c r="F24" s="690"/>
      <c r="G24" s="679">
        <v>2</v>
      </c>
      <c r="H24" s="680"/>
      <c r="I24" s="677">
        <v>86</v>
      </c>
      <c r="J24" s="677"/>
      <c r="K24" s="677">
        <v>5.02</v>
      </c>
      <c r="L24" s="677"/>
      <c r="M24" s="689" t="s">
        <v>1043</v>
      </c>
      <c r="N24" s="690"/>
      <c r="O24" s="679">
        <v>3</v>
      </c>
      <c r="P24" s="680"/>
      <c r="Q24" s="677">
        <v>103</v>
      </c>
      <c r="R24" s="677"/>
      <c r="S24" s="677">
        <v>7.53</v>
      </c>
      <c r="T24" s="677"/>
    </row>
    <row r="25" spans="1:20" ht="12.75">
      <c r="A25" s="70">
        <v>3</v>
      </c>
      <c r="B25" s="685" t="s">
        <v>170</v>
      </c>
      <c r="C25" s="686"/>
      <c r="D25" s="687"/>
      <c r="E25" s="689" t="s">
        <v>1044</v>
      </c>
      <c r="F25" s="690"/>
      <c r="G25" s="679">
        <v>2.04</v>
      </c>
      <c r="H25" s="680"/>
      <c r="I25" s="677">
        <v>25</v>
      </c>
      <c r="J25" s="677"/>
      <c r="K25" s="677">
        <v>6.27</v>
      </c>
      <c r="L25" s="677"/>
      <c r="M25" s="689" t="s">
        <v>556</v>
      </c>
      <c r="N25" s="690"/>
      <c r="O25" s="679">
        <v>3.06</v>
      </c>
      <c r="P25" s="680"/>
      <c r="Q25" s="677">
        <v>50</v>
      </c>
      <c r="R25" s="677"/>
      <c r="S25" s="677">
        <v>6.27</v>
      </c>
      <c r="T25" s="677"/>
    </row>
    <row r="26" spans="1:20" ht="12.75">
      <c r="A26" s="70">
        <v>4</v>
      </c>
      <c r="B26" s="685" t="s">
        <v>49</v>
      </c>
      <c r="C26" s="686"/>
      <c r="D26" s="687"/>
      <c r="E26" s="681" t="s">
        <v>815</v>
      </c>
      <c r="F26" s="682"/>
      <c r="G26" s="679">
        <v>0.15</v>
      </c>
      <c r="H26" s="680"/>
      <c r="I26" s="677">
        <v>45</v>
      </c>
      <c r="J26" s="677"/>
      <c r="K26" s="677">
        <v>0</v>
      </c>
      <c r="L26" s="677"/>
      <c r="M26" s="681" t="s">
        <v>816</v>
      </c>
      <c r="N26" s="682"/>
      <c r="O26" s="679">
        <v>0.2</v>
      </c>
      <c r="P26" s="680"/>
      <c r="Q26" s="677">
        <v>67.5</v>
      </c>
      <c r="R26" s="677"/>
      <c r="S26" s="677">
        <v>0</v>
      </c>
      <c r="T26" s="677"/>
    </row>
    <row r="27" spans="1:20" ht="12.75">
      <c r="A27" s="70">
        <v>5</v>
      </c>
      <c r="B27" s="685" t="s">
        <v>50</v>
      </c>
      <c r="C27" s="686"/>
      <c r="D27" s="687"/>
      <c r="E27" s="681" t="s">
        <v>506</v>
      </c>
      <c r="F27" s="682"/>
      <c r="G27" s="679">
        <v>0.1</v>
      </c>
      <c r="H27" s="680"/>
      <c r="I27" s="677">
        <v>0</v>
      </c>
      <c r="J27" s="677"/>
      <c r="K27" s="677">
        <v>0</v>
      </c>
      <c r="L27" s="677"/>
      <c r="M27" s="681" t="s">
        <v>506</v>
      </c>
      <c r="N27" s="682"/>
      <c r="O27" s="679">
        <v>0.1</v>
      </c>
      <c r="P27" s="680"/>
      <c r="Q27" s="677">
        <v>0</v>
      </c>
      <c r="R27" s="677"/>
      <c r="S27" s="677">
        <v>0</v>
      </c>
      <c r="T27" s="677"/>
    </row>
    <row r="28" spans="1:20" ht="12.75">
      <c r="A28" s="70">
        <v>6</v>
      </c>
      <c r="B28" s="685" t="s">
        <v>51</v>
      </c>
      <c r="C28" s="686"/>
      <c r="D28" s="687"/>
      <c r="E28" s="681" t="s">
        <v>506</v>
      </c>
      <c r="F28" s="682"/>
      <c r="G28" s="679">
        <v>0.12</v>
      </c>
      <c r="H28" s="680"/>
      <c r="I28" s="677">
        <v>0</v>
      </c>
      <c r="J28" s="677"/>
      <c r="K28" s="677">
        <v>0</v>
      </c>
      <c r="L28" s="677"/>
      <c r="M28" s="681" t="s">
        <v>506</v>
      </c>
      <c r="N28" s="682"/>
      <c r="O28" s="679">
        <v>0.15</v>
      </c>
      <c r="P28" s="680"/>
      <c r="Q28" s="677">
        <v>0</v>
      </c>
      <c r="R28" s="677"/>
      <c r="S28" s="677">
        <v>0</v>
      </c>
      <c r="T28" s="677"/>
    </row>
    <row r="29" spans="1:20" ht="12.75">
      <c r="A29" s="70"/>
      <c r="B29" s="654" t="s">
        <v>15</v>
      </c>
      <c r="C29" s="654"/>
      <c r="D29" s="654"/>
      <c r="E29" s="647"/>
      <c r="F29" s="647"/>
      <c r="G29" s="647">
        <f>SUM(G24:G28)</f>
        <v>4.41</v>
      </c>
      <c r="H29" s="647"/>
      <c r="I29" s="652">
        <f>SUM(I23:I28)</f>
        <v>496</v>
      </c>
      <c r="J29" s="652"/>
      <c r="K29" s="652">
        <f>SUM(K23:K28)</f>
        <v>19.29</v>
      </c>
      <c r="L29" s="652"/>
      <c r="M29" s="647"/>
      <c r="N29" s="647"/>
      <c r="O29" s="647">
        <f>SUM(O24:O28)</f>
        <v>6.510000000000001</v>
      </c>
      <c r="P29" s="647"/>
      <c r="Q29" s="652">
        <f>SUM(Q23:Q28)</f>
        <v>730.5</v>
      </c>
      <c r="R29" s="652"/>
      <c r="S29" s="652">
        <f>SUM(S23:S28)</f>
        <v>25.8</v>
      </c>
      <c r="T29" s="652"/>
    </row>
    <row r="30" spans="1:20" ht="12.75">
      <c r="A30" s="117"/>
      <c r="B30" s="118"/>
      <c r="C30" s="118"/>
      <c r="D30" s="118"/>
      <c r="E30" s="12"/>
      <c r="F30" s="12"/>
      <c r="G30" s="12"/>
      <c r="H30" s="12"/>
      <c r="I30" s="12"/>
      <c r="J30" s="12"/>
      <c r="K30" s="12"/>
      <c r="L30" s="12"/>
      <c r="M30" s="12"/>
      <c r="N30" s="12"/>
      <c r="O30" s="12"/>
      <c r="P30" s="12"/>
      <c r="Q30" s="12"/>
      <c r="R30" s="12"/>
      <c r="S30" s="12"/>
      <c r="T30" s="12"/>
    </row>
    <row r="31" spans="1:20" ht="12.75" customHeight="1">
      <c r="A31" s="233" t="s">
        <v>631</v>
      </c>
      <c r="B31" s="419"/>
      <c r="C31" s="419"/>
      <c r="D31" s="419"/>
      <c r="E31" s="419"/>
      <c r="F31" s="419"/>
      <c r="G31" s="419"/>
      <c r="H31" s="419"/>
      <c r="I31" s="12"/>
      <c r="J31" s="12"/>
      <c r="K31" s="12"/>
      <c r="L31" s="12"/>
      <c r="M31" s="12"/>
      <c r="N31" s="12"/>
      <c r="O31" s="12"/>
      <c r="P31" s="12"/>
      <c r="Q31" s="12"/>
      <c r="R31" s="12"/>
      <c r="S31" s="12"/>
      <c r="T31" s="12"/>
    </row>
    <row r="32" spans="1:20" ht="12.75">
      <c r="A32" s="233"/>
      <c r="B32" s="118"/>
      <c r="C32" s="118"/>
      <c r="D32" s="118"/>
      <c r="E32" s="12"/>
      <c r="F32" s="12"/>
      <c r="G32" s="12"/>
      <c r="H32" s="12"/>
      <c r="I32" s="12"/>
      <c r="J32" s="12"/>
      <c r="K32" s="12"/>
      <c r="L32" s="12"/>
      <c r="M32" s="12"/>
      <c r="N32" s="12"/>
      <c r="O32" s="12"/>
      <c r="P32" s="12"/>
      <c r="Q32" s="12"/>
      <c r="R32" s="12"/>
      <c r="S32" s="12"/>
      <c r="T32" s="12"/>
    </row>
    <row r="33" spans="1:20" s="28" customFormat="1" ht="17.25" customHeight="1">
      <c r="A33" s="2" t="s">
        <v>21</v>
      </c>
      <c r="B33" s="658" t="s">
        <v>411</v>
      </c>
      <c r="C33" s="659"/>
      <c r="D33" s="660"/>
      <c r="E33" s="664" t="s">
        <v>22</v>
      </c>
      <c r="F33" s="665"/>
      <c r="G33" s="665"/>
      <c r="H33" s="665"/>
      <c r="I33" s="665"/>
      <c r="J33" s="666"/>
      <c r="K33" s="647" t="s">
        <v>23</v>
      </c>
      <c r="L33" s="647"/>
      <c r="M33" s="647"/>
      <c r="N33" s="647"/>
      <c r="O33" s="647"/>
      <c r="P33" s="647"/>
      <c r="Q33" s="688"/>
      <c r="R33" s="688"/>
      <c r="S33" s="688"/>
      <c r="T33" s="688"/>
    </row>
    <row r="34" spans="1:20" ht="12.75">
      <c r="A34" s="4"/>
      <c r="B34" s="661"/>
      <c r="C34" s="662"/>
      <c r="D34" s="663"/>
      <c r="E34" s="655" t="s">
        <v>429</v>
      </c>
      <c r="F34" s="656"/>
      <c r="G34" s="655" t="s">
        <v>430</v>
      </c>
      <c r="H34" s="656"/>
      <c r="I34" s="655" t="s">
        <v>431</v>
      </c>
      <c r="J34" s="656"/>
      <c r="K34" s="647" t="s">
        <v>429</v>
      </c>
      <c r="L34" s="647"/>
      <c r="M34" s="647" t="s">
        <v>430</v>
      </c>
      <c r="N34" s="647"/>
      <c r="O34" s="647" t="s">
        <v>431</v>
      </c>
      <c r="P34" s="647"/>
      <c r="Q34" s="12"/>
      <c r="R34" s="12"/>
      <c r="S34" s="12"/>
      <c r="T34" s="12"/>
    </row>
    <row r="35" spans="1:20" ht="12.75">
      <c r="A35" s="70">
        <v>1</v>
      </c>
      <c r="B35" s="655" t="s">
        <v>1045</v>
      </c>
      <c r="C35" s="657"/>
      <c r="D35" s="656"/>
      <c r="E35" s="655" t="s">
        <v>1046</v>
      </c>
      <c r="F35" s="656"/>
      <c r="G35" s="668">
        <v>3.81</v>
      </c>
      <c r="H35" s="669"/>
      <c r="I35" s="668"/>
      <c r="J35" s="669"/>
      <c r="K35" s="655" t="s">
        <v>1046</v>
      </c>
      <c r="L35" s="656"/>
      <c r="M35" s="668">
        <v>3.81</v>
      </c>
      <c r="N35" s="669"/>
      <c r="O35" s="647"/>
      <c r="P35" s="647"/>
      <c r="Q35" s="12"/>
      <c r="R35" s="12"/>
      <c r="S35" s="12"/>
      <c r="T35" s="12"/>
    </row>
    <row r="36" spans="6:11" ht="12.75">
      <c r="F36" s="244"/>
      <c r="G36" s="244"/>
      <c r="H36" s="244"/>
      <c r="I36" s="244"/>
      <c r="J36" s="244"/>
      <c r="K36" s="244"/>
    </row>
    <row r="37" spans="1:9" ht="13.5" customHeight="1">
      <c r="A37" s="670" t="s">
        <v>628</v>
      </c>
      <c r="B37" s="670"/>
      <c r="C37" s="670"/>
      <c r="D37" s="670"/>
      <c r="E37" s="670"/>
      <c r="F37" s="670"/>
      <c r="G37" s="670"/>
      <c r="H37" s="670"/>
      <c r="I37" s="670"/>
    </row>
    <row r="38" spans="1:9" ht="13.5" customHeight="1">
      <c r="A38" s="671" t="s">
        <v>54</v>
      </c>
      <c r="B38" s="671" t="s">
        <v>22</v>
      </c>
      <c r="C38" s="671"/>
      <c r="D38" s="671"/>
      <c r="E38" s="675" t="s">
        <v>23</v>
      </c>
      <c r="F38" s="675"/>
      <c r="G38" s="675"/>
      <c r="H38" s="674" t="s">
        <v>145</v>
      </c>
      <c r="I38" s="674"/>
    </row>
    <row r="39" spans="1:9" ht="15">
      <c r="A39" s="671"/>
      <c r="B39" s="51" t="s">
        <v>171</v>
      </c>
      <c r="C39" s="74" t="s">
        <v>97</v>
      </c>
      <c r="D39" s="51" t="s">
        <v>15</v>
      </c>
      <c r="E39" s="51" t="s">
        <v>171</v>
      </c>
      <c r="F39" s="74" t="s">
        <v>97</v>
      </c>
      <c r="G39" s="51" t="s">
        <v>15</v>
      </c>
      <c r="H39" s="674"/>
      <c r="I39" s="674"/>
    </row>
    <row r="40" spans="1:10" ht="15">
      <c r="A40" s="27" t="s">
        <v>754</v>
      </c>
      <c r="B40" s="610">
        <v>3.91</v>
      </c>
      <c r="C40" s="610">
        <v>0.5</v>
      </c>
      <c r="D40" s="610">
        <f>SUM(B40:C40)</f>
        <v>4.41</v>
      </c>
      <c r="E40" s="610">
        <v>5.86</v>
      </c>
      <c r="F40" s="610">
        <v>0.65</v>
      </c>
      <c r="G40" s="320">
        <f>SUM(E40:F40)</f>
        <v>6.510000000000001</v>
      </c>
      <c r="H40" s="672" t="s">
        <v>1047</v>
      </c>
      <c r="I40" s="672"/>
      <c r="J40" s="244"/>
    </row>
    <row r="41" spans="1:9" ht="15">
      <c r="A41" s="27" t="s">
        <v>930</v>
      </c>
      <c r="B41" s="320">
        <v>3.91</v>
      </c>
      <c r="C41" s="320">
        <v>0.5</v>
      </c>
      <c r="D41" s="320">
        <f>SUM(B41:C41)</f>
        <v>4.41</v>
      </c>
      <c r="E41" s="320">
        <v>5.86</v>
      </c>
      <c r="F41" s="320">
        <v>0.65</v>
      </c>
      <c r="G41" s="320">
        <f>SUM(E41:F41)</f>
        <v>6.510000000000001</v>
      </c>
      <c r="H41" s="673" t="s">
        <v>172</v>
      </c>
      <c r="I41" s="673"/>
    </row>
    <row r="42" spans="1:9" ht="15">
      <c r="A42" s="116" t="s">
        <v>232</v>
      </c>
      <c r="B42" s="231"/>
      <c r="C42" s="231"/>
      <c r="D42" s="13"/>
      <c r="E42" s="13"/>
      <c r="F42" s="232"/>
      <c r="G42" s="232"/>
      <c r="H42" s="232"/>
      <c r="I42"/>
    </row>
    <row r="43" spans="1:9" ht="15">
      <c r="A43" s="116"/>
      <c r="B43" s="231"/>
      <c r="C43" s="231"/>
      <c r="D43" s="13"/>
      <c r="E43" s="13"/>
      <c r="F43" s="232"/>
      <c r="G43" s="232"/>
      <c r="H43" s="232"/>
      <c r="I43"/>
    </row>
    <row r="44" spans="1:9" ht="15">
      <c r="A44" s="116"/>
      <c r="B44" s="231"/>
      <c r="C44" s="231"/>
      <c r="D44" s="13"/>
      <c r="E44" s="13"/>
      <c r="F44" s="232"/>
      <c r="G44" s="232"/>
      <c r="H44" s="232"/>
      <c r="I44"/>
    </row>
    <row r="46" spans="1:17" s="16" customFormat="1" ht="12.75" customHeight="1">
      <c r="A46" s="15" t="s">
        <v>11</v>
      </c>
      <c r="B46" s="15"/>
      <c r="C46" s="15"/>
      <c r="D46" s="15"/>
      <c r="E46" s="15"/>
      <c r="F46" s="15"/>
      <c r="G46" s="15"/>
      <c r="I46" s="15"/>
      <c r="N46" s="667" t="s">
        <v>819</v>
      </c>
      <c r="O46" s="667"/>
      <c r="P46" s="667"/>
      <c r="Q46" s="667"/>
    </row>
    <row r="47" spans="2:19" s="16" customFormat="1" ht="12.75" customHeight="1">
      <c r="B47" s="86"/>
      <c r="C47" s="86"/>
      <c r="D47" s="86"/>
      <c r="E47" s="86"/>
      <c r="F47" s="86"/>
      <c r="G47" s="86"/>
      <c r="H47" s="86"/>
      <c r="I47" s="86"/>
      <c r="J47" s="86"/>
      <c r="K47" s="86"/>
      <c r="L47" s="86"/>
      <c r="M47" s="86"/>
      <c r="N47" s="667" t="s">
        <v>488</v>
      </c>
      <c r="O47" s="667"/>
      <c r="P47" s="667"/>
      <c r="Q47" s="667"/>
      <c r="R47" s="86"/>
      <c r="S47" s="86"/>
    </row>
    <row r="48" spans="14:17" ht="12.75" customHeight="1">
      <c r="N48" s="699" t="s">
        <v>80</v>
      </c>
      <c r="O48" s="699"/>
      <c r="P48" s="699"/>
      <c r="Q48" s="699"/>
    </row>
  </sheetData>
  <sheetProtection/>
  <mergeCells count="150">
    <mergeCell ref="B27:D27"/>
    <mergeCell ref="E27:F27"/>
    <mergeCell ref="G27:H27"/>
    <mergeCell ref="B28:D28"/>
    <mergeCell ref="E28:F28"/>
    <mergeCell ref="K24:L24"/>
    <mergeCell ref="E24:F24"/>
    <mergeCell ref="G24:H24"/>
    <mergeCell ref="E25:F25"/>
    <mergeCell ref="G25:H25"/>
    <mergeCell ref="I23:J23"/>
    <mergeCell ref="B26:D26"/>
    <mergeCell ref="E26:F26"/>
    <mergeCell ref="G26:H26"/>
    <mergeCell ref="D13:E13"/>
    <mergeCell ref="H12:I12"/>
    <mergeCell ref="E20:L20"/>
    <mergeCell ref="A19:S19"/>
    <mergeCell ref="J12:K12"/>
    <mergeCell ref="K23:L23"/>
    <mergeCell ref="E22:F22"/>
    <mergeCell ref="K22:L22"/>
    <mergeCell ref="Q22:R22"/>
    <mergeCell ref="M22:N22"/>
    <mergeCell ref="O22:P22"/>
    <mergeCell ref="I22:J22"/>
    <mergeCell ref="G22:H22"/>
    <mergeCell ref="N48:Q48"/>
    <mergeCell ref="J9:K9"/>
    <mergeCell ref="J13:K13"/>
    <mergeCell ref="J11:K11"/>
    <mergeCell ref="I25:J25"/>
    <mergeCell ref="K25:L25"/>
    <mergeCell ref="Q28:R28"/>
    <mergeCell ref="Q27:R27"/>
    <mergeCell ref="M27:N27"/>
    <mergeCell ref="O27:P27"/>
    <mergeCell ref="B12:C12"/>
    <mergeCell ref="D12:E12"/>
    <mergeCell ref="F12:G12"/>
    <mergeCell ref="H13:I13"/>
    <mergeCell ref="B11:C11"/>
    <mergeCell ref="D11:E11"/>
    <mergeCell ref="B13:C13"/>
    <mergeCell ref="A6:B6"/>
    <mergeCell ref="A7:I7"/>
    <mergeCell ref="D9:E9"/>
    <mergeCell ref="F9:G9"/>
    <mergeCell ref="K26:L26"/>
    <mergeCell ref="B10:C10"/>
    <mergeCell ref="F13:G13"/>
    <mergeCell ref="F11:G11"/>
    <mergeCell ref="H11:I11"/>
    <mergeCell ref="I21:J21"/>
    <mergeCell ref="R1:S1"/>
    <mergeCell ref="Q26:R26"/>
    <mergeCell ref="S24:T24"/>
    <mergeCell ref="Q23:R23"/>
    <mergeCell ref="S23:T23"/>
    <mergeCell ref="Q24:R24"/>
    <mergeCell ref="S21:T21"/>
    <mergeCell ref="S22:T22"/>
    <mergeCell ref="Q21:R21"/>
    <mergeCell ref="S25:T25"/>
    <mergeCell ref="G21:H21"/>
    <mergeCell ref="O21:P21"/>
    <mergeCell ref="G23:H23"/>
    <mergeCell ref="I24:J24"/>
    <mergeCell ref="M23:N23"/>
    <mergeCell ref="H1:I1"/>
    <mergeCell ref="H9:I9"/>
    <mergeCell ref="H10:I10"/>
    <mergeCell ref="M21:N21"/>
    <mergeCell ref="K21:L21"/>
    <mergeCell ref="Q25:R25"/>
    <mergeCell ref="M25:N25"/>
    <mergeCell ref="O23:P23"/>
    <mergeCell ref="M24:N24"/>
    <mergeCell ref="O24:P24"/>
    <mergeCell ref="B9:C9"/>
    <mergeCell ref="E23:F23"/>
    <mergeCell ref="B22:D22"/>
    <mergeCell ref="B23:D23"/>
    <mergeCell ref="B25:D25"/>
    <mergeCell ref="E21:F21"/>
    <mergeCell ref="B24:D24"/>
    <mergeCell ref="A17:B17"/>
    <mergeCell ref="C17:D17"/>
    <mergeCell ref="F10:G10"/>
    <mergeCell ref="S33:T33"/>
    <mergeCell ref="M29:N29"/>
    <mergeCell ref="O29:P29"/>
    <mergeCell ref="Q29:R29"/>
    <mergeCell ref="Q33:R33"/>
    <mergeCell ref="S26:T26"/>
    <mergeCell ref="S28:T28"/>
    <mergeCell ref="S27:T27"/>
    <mergeCell ref="G28:H28"/>
    <mergeCell ref="O28:P28"/>
    <mergeCell ref="M28:N28"/>
    <mergeCell ref="I27:J27"/>
    <mergeCell ref="K28:L28"/>
    <mergeCell ref="M26:N26"/>
    <mergeCell ref="J10:K10"/>
    <mergeCell ref="D10:E10"/>
    <mergeCell ref="I29:J29"/>
    <mergeCell ref="I28:J28"/>
    <mergeCell ref="M20:T20"/>
    <mergeCell ref="O25:P25"/>
    <mergeCell ref="I26:J26"/>
    <mergeCell ref="K29:L29"/>
    <mergeCell ref="O26:P26"/>
    <mergeCell ref="K27:L27"/>
    <mergeCell ref="H40:I40"/>
    <mergeCell ref="H41:I41"/>
    <mergeCell ref="K33:P33"/>
    <mergeCell ref="K34:L34"/>
    <mergeCell ref="B38:D38"/>
    <mergeCell ref="H38:I39"/>
    <mergeCell ref="I34:J34"/>
    <mergeCell ref="G34:H34"/>
    <mergeCell ref="G35:H35"/>
    <mergeCell ref="E38:G38"/>
    <mergeCell ref="O34:P34"/>
    <mergeCell ref="N47:Q47"/>
    <mergeCell ref="N46:Q46"/>
    <mergeCell ref="M35:N35"/>
    <mergeCell ref="O35:P35"/>
    <mergeCell ref="I35:J35"/>
    <mergeCell ref="A37:I37"/>
    <mergeCell ref="A38:A39"/>
    <mergeCell ref="K35:L35"/>
    <mergeCell ref="E35:F35"/>
    <mergeCell ref="B29:D29"/>
    <mergeCell ref="E34:F34"/>
    <mergeCell ref="E29:F29"/>
    <mergeCell ref="G29:H29"/>
    <mergeCell ref="B35:D35"/>
    <mergeCell ref="B33:D34"/>
    <mergeCell ref="E33:J33"/>
    <mergeCell ref="A2:T2"/>
    <mergeCell ref="A3:T3"/>
    <mergeCell ref="A5:T5"/>
    <mergeCell ref="M34:N34"/>
    <mergeCell ref="A15:G15"/>
    <mergeCell ref="C16:D16"/>
    <mergeCell ref="A16:B16"/>
    <mergeCell ref="S29:T29"/>
    <mergeCell ref="A20:A21"/>
    <mergeCell ref="B20:D21"/>
  </mergeCells>
  <printOptions horizontalCentered="1"/>
  <pageMargins left="0.82" right="0.33" top="0.61" bottom="0" header="0.49" footer="0.14"/>
  <pageSetup fitToHeight="1" fitToWidth="1" horizontalDpi="600" verticalDpi="600" orientation="landscape" paperSize="9" scale="77" r:id="rId1"/>
</worksheet>
</file>

<file path=xl/worksheets/sheet40.xml><?xml version="1.0" encoding="utf-8"?>
<worksheet xmlns="http://schemas.openxmlformats.org/spreadsheetml/2006/main" xmlns:r="http://schemas.openxmlformats.org/officeDocument/2006/relationships">
  <sheetPr>
    <pageSetUpPr fitToPage="1"/>
  </sheetPr>
  <dimension ref="A1:O36"/>
  <sheetViews>
    <sheetView view="pageBreakPreview" zoomScaleSheetLayoutView="100" zoomScalePageLayoutView="0" workbookViewId="0" topLeftCell="A1">
      <selection activeCell="H8" sqref="H8"/>
    </sheetView>
  </sheetViews>
  <sheetFormatPr defaultColWidth="9.140625" defaultRowHeight="12.75"/>
  <cols>
    <col min="1" max="1" width="5.8515625" style="0" customWidth="1"/>
    <col min="2" max="2" width="13.28125" style="0" customWidth="1"/>
    <col min="3" max="3" width="13.8515625" style="0" customWidth="1"/>
    <col min="4" max="4" width="9.421875" style="0" customWidth="1"/>
    <col min="5" max="5" width="9.00390625" style="0" customWidth="1"/>
    <col min="6" max="6" width="9.28125" style="0" customWidth="1"/>
    <col min="7" max="7" width="11.421875" style="0" customWidth="1"/>
    <col min="8" max="8" width="10.421875" style="0" customWidth="1"/>
    <col min="9" max="9" width="14.421875" style="0" customWidth="1"/>
    <col min="10" max="10" width="13.57421875" style="0" customWidth="1"/>
    <col min="11" max="11" width="10.00390625" style="0" customWidth="1"/>
    <col min="12" max="12" width="9.7109375" style="0" customWidth="1"/>
    <col min="13" max="13" width="11.00390625" style="0" customWidth="1"/>
    <col min="14" max="14" width="10.140625" style="0" customWidth="1"/>
  </cols>
  <sheetData>
    <row r="1" ht="12.75">
      <c r="N1" s="216" t="s">
        <v>710</v>
      </c>
    </row>
    <row r="2" spans="1:14" ht="18">
      <c r="A2" s="739" t="s">
        <v>0</v>
      </c>
      <c r="B2" s="739"/>
      <c r="C2" s="739"/>
      <c r="D2" s="739"/>
      <c r="E2" s="739"/>
      <c r="F2" s="739"/>
      <c r="G2" s="739"/>
      <c r="H2" s="739"/>
      <c r="I2" s="739"/>
      <c r="J2" s="739"/>
      <c r="K2" s="739"/>
      <c r="L2" s="739"/>
      <c r="M2" s="739"/>
      <c r="N2" s="739"/>
    </row>
    <row r="3" spans="1:14" ht="21">
      <c r="A3" s="740" t="s">
        <v>854</v>
      </c>
      <c r="B3" s="740"/>
      <c r="C3" s="740"/>
      <c r="D3" s="740"/>
      <c r="E3" s="740"/>
      <c r="F3" s="740"/>
      <c r="G3" s="740"/>
      <c r="H3" s="740"/>
      <c r="I3" s="740"/>
      <c r="J3" s="740"/>
      <c r="K3" s="740"/>
      <c r="L3" s="740"/>
      <c r="M3" s="740"/>
      <c r="N3" s="740"/>
    </row>
    <row r="4" spans="1:10" ht="15">
      <c r="A4" s="183"/>
      <c r="B4" s="183"/>
      <c r="C4" s="183"/>
      <c r="D4" s="183"/>
      <c r="E4" s="183"/>
      <c r="F4" s="183"/>
      <c r="G4" s="183"/>
      <c r="H4" s="183"/>
      <c r="I4" s="183"/>
      <c r="J4" s="183"/>
    </row>
    <row r="5" spans="1:14" ht="18">
      <c r="A5" s="739" t="s">
        <v>711</v>
      </c>
      <c r="B5" s="739"/>
      <c r="C5" s="739"/>
      <c r="D5" s="739"/>
      <c r="E5" s="739"/>
      <c r="F5" s="739"/>
      <c r="G5" s="739"/>
      <c r="H5" s="739"/>
      <c r="I5" s="739"/>
      <c r="J5" s="739"/>
      <c r="K5" s="739"/>
      <c r="L5" s="739"/>
      <c r="M5" s="739"/>
      <c r="N5" s="739"/>
    </row>
    <row r="6" spans="1:14" ht="15">
      <c r="A6" s="184" t="s">
        <v>485</v>
      </c>
      <c r="B6" s="184"/>
      <c r="C6" s="184"/>
      <c r="D6" s="184"/>
      <c r="E6" s="184"/>
      <c r="F6" s="184"/>
      <c r="G6" s="184"/>
      <c r="H6" s="183"/>
      <c r="I6" s="183"/>
      <c r="J6" s="183"/>
      <c r="K6" s="873" t="s">
        <v>856</v>
      </c>
      <c r="L6" s="873"/>
      <c r="M6" s="873"/>
      <c r="N6" s="873"/>
    </row>
    <row r="7" spans="1:14" s="260" customFormat="1" ht="39.75" customHeight="1">
      <c r="A7" s="846" t="s">
        <v>2</v>
      </c>
      <c r="B7" s="846" t="s">
        <v>3</v>
      </c>
      <c r="C7" s="653" t="s">
        <v>404</v>
      </c>
      <c r="D7" s="753" t="s">
        <v>456</v>
      </c>
      <c r="E7" s="753"/>
      <c r="F7" s="753"/>
      <c r="G7" s="753"/>
      <c r="H7" s="684"/>
      <c r="I7" s="846" t="s">
        <v>712</v>
      </c>
      <c r="J7" s="846" t="s">
        <v>713</v>
      </c>
      <c r="K7" s="848" t="s">
        <v>683</v>
      </c>
      <c r="L7" s="848"/>
      <c r="M7" s="848"/>
      <c r="N7" s="848"/>
    </row>
    <row r="8" spans="1:14" s="260" customFormat="1" ht="32.25" customHeight="1">
      <c r="A8" s="847"/>
      <c r="B8" s="847"/>
      <c r="C8" s="653"/>
      <c r="D8" s="257" t="s">
        <v>455</v>
      </c>
      <c r="E8" s="257" t="s">
        <v>405</v>
      </c>
      <c r="F8" s="257" t="s">
        <v>406</v>
      </c>
      <c r="G8" s="257" t="s">
        <v>407</v>
      </c>
      <c r="H8" s="257" t="s">
        <v>44</v>
      </c>
      <c r="I8" s="847"/>
      <c r="J8" s="847"/>
      <c r="K8" s="357" t="s">
        <v>408</v>
      </c>
      <c r="L8" s="475" t="s">
        <v>684</v>
      </c>
      <c r="M8" s="257" t="s">
        <v>409</v>
      </c>
      <c r="N8" s="475" t="s">
        <v>410</v>
      </c>
    </row>
    <row r="9" spans="1:14" ht="15">
      <c r="A9" s="185" t="s">
        <v>263</v>
      </c>
      <c r="B9" s="185" t="s">
        <v>264</v>
      </c>
      <c r="C9" s="185" t="s">
        <v>265</v>
      </c>
      <c r="D9" s="185" t="s">
        <v>266</v>
      </c>
      <c r="E9" s="185" t="s">
        <v>267</v>
      </c>
      <c r="F9" s="185" t="s">
        <v>268</v>
      </c>
      <c r="G9" s="185" t="s">
        <v>269</v>
      </c>
      <c r="H9" s="185" t="s">
        <v>270</v>
      </c>
      <c r="I9" s="185" t="s">
        <v>289</v>
      </c>
      <c r="J9" s="185" t="s">
        <v>290</v>
      </c>
      <c r="K9" s="185" t="s">
        <v>291</v>
      </c>
      <c r="L9" s="185" t="s">
        <v>318</v>
      </c>
      <c r="M9" s="185" t="s">
        <v>319</v>
      </c>
      <c r="N9" s="185" t="s">
        <v>320</v>
      </c>
    </row>
    <row r="10" spans="1:14" ht="12.75">
      <c r="A10" s="8">
        <v>1</v>
      </c>
      <c r="B10" s="19" t="s">
        <v>476</v>
      </c>
      <c r="C10" s="9">
        <f>'AT-3'!G9</f>
        <v>917</v>
      </c>
      <c r="D10" s="9">
        <v>188</v>
      </c>
      <c r="E10" s="9">
        <v>329</v>
      </c>
      <c r="F10" s="9">
        <v>345</v>
      </c>
      <c r="G10" s="382">
        <v>0</v>
      </c>
      <c r="H10" s="9">
        <f>C10-(D10+E10+F10+G10)</f>
        <v>55</v>
      </c>
      <c r="I10" s="9">
        <f>C10</f>
        <v>917</v>
      </c>
      <c r="J10" s="9">
        <f>I10</f>
        <v>917</v>
      </c>
      <c r="K10" s="9">
        <f>C10</f>
        <v>917</v>
      </c>
      <c r="L10" s="9">
        <f>C10</f>
        <v>917</v>
      </c>
      <c r="M10" s="9">
        <f>C10</f>
        <v>917</v>
      </c>
      <c r="N10" s="9">
        <f>M10</f>
        <v>917</v>
      </c>
    </row>
    <row r="11" spans="1:14" ht="12.75">
      <c r="A11" s="8">
        <v>2</v>
      </c>
      <c r="B11" s="19" t="s">
        <v>477</v>
      </c>
      <c r="C11" s="9">
        <f>'AT-3'!G10</f>
        <v>875</v>
      </c>
      <c r="D11" s="9">
        <v>176</v>
      </c>
      <c r="E11" s="9">
        <v>308</v>
      </c>
      <c r="F11" s="9">
        <v>335</v>
      </c>
      <c r="G11" s="382">
        <v>0</v>
      </c>
      <c r="H11" s="9">
        <f aca="true" t="shared" si="0" ref="H11:H17">C11-(D11+E11+F11+G11)</f>
        <v>56</v>
      </c>
      <c r="I11" s="9">
        <f aca="true" t="shared" si="1" ref="I11:I17">C11</f>
        <v>875</v>
      </c>
      <c r="J11" s="9">
        <f aca="true" t="shared" si="2" ref="J11:J17">I11</f>
        <v>875</v>
      </c>
      <c r="K11" s="9">
        <f aca="true" t="shared" si="3" ref="K11:K17">C11</f>
        <v>875</v>
      </c>
      <c r="L11" s="9">
        <f aca="true" t="shared" si="4" ref="L11:L17">C11</f>
        <v>875</v>
      </c>
      <c r="M11" s="9">
        <f aca="true" t="shared" si="5" ref="M11:M17">C11</f>
        <v>875</v>
      </c>
      <c r="N11" s="9">
        <f aca="true" t="shared" si="6" ref="N11:N17">M11</f>
        <v>875</v>
      </c>
    </row>
    <row r="12" spans="1:14" ht="12.75">
      <c r="A12" s="8">
        <v>3</v>
      </c>
      <c r="B12" s="19" t="s">
        <v>478</v>
      </c>
      <c r="C12" s="9">
        <f>'AT-3'!G11</f>
        <v>668</v>
      </c>
      <c r="D12" s="9">
        <v>135</v>
      </c>
      <c r="E12" s="9">
        <v>236</v>
      </c>
      <c r="F12" s="9">
        <v>258</v>
      </c>
      <c r="G12" s="382">
        <v>0</v>
      </c>
      <c r="H12" s="9">
        <f t="shared" si="0"/>
        <v>39</v>
      </c>
      <c r="I12" s="9">
        <f t="shared" si="1"/>
        <v>668</v>
      </c>
      <c r="J12" s="9">
        <f t="shared" si="2"/>
        <v>668</v>
      </c>
      <c r="K12" s="9">
        <f t="shared" si="3"/>
        <v>668</v>
      </c>
      <c r="L12" s="9">
        <f t="shared" si="4"/>
        <v>668</v>
      </c>
      <c r="M12" s="9">
        <f t="shared" si="5"/>
        <v>668</v>
      </c>
      <c r="N12" s="9">
        <f t="shared" si="6"/>
        <v>668</v>
      </c>
    </row>
    <row r="13" spans="1:14" ht="12.75">
      <c r="A13" s="8">
        <v>4</v>
      </c>
      <c r="B13" s="19" t="s">
        <v>479</v>
      </c>
      <c r="C13" s="9">
        <f>'AT-3'!G12</f>
        <v>810</v>
      </c>
      <c r="D13" s="9">
        <v>162</v>
      </c>
      <c r="E13" s="9">
        <v>284</v>
      </c>
      <c r="F13" s="9">
        <v>312</v>
      </c>
      <c r="G13" s="382">
        <v>0</v>
      </c>
      <c r="H13" s="9">
        <f t="shared" si="0"/>
        <v>52</v>
      </c>
      <c r="I13" s="9">
        <f t="shared" si="1"/>
        <v>810</v>
      </c>
      <c r="J13" s="9">
        <f t="shared" si="2"/>
        <v>810</v>
      </c>
      <c r="K13" s="9">
        <f t="shared" si="3"/>
        <v>810</v>
      </c>
      <c r="L13" s="9">
        <f t="shared" si="4"/>
        <v>810</v>
      </c>
      <c r="M13" s="9">
        <f t="shared" si="5"/>
        <v>810</v>
      </c>
      <c r="N13" s="9">
        <f t="shared" si="6"/>
        <v>810</v>
      </c>
    </row>
    <row r="14" spans="1:15" ht="12.75">
      <c r="A14" s="8">
        <v>5</v>
      </c>
      <c r="B14" s="19" t="s">
        <v>480</v>
      </c>
      <c r="C14" s="9">
        <f>'AT-3'!G13</f>
        <v>925</v>
      </c>
      <c r="D14" s="9">
        <v>184</v>
      </c>
      <c r="E14" s="9">
        <v>322</v>
      </c>
      <c r="F14" s="9">
        <v>352</v>
      </c>
      <c r="G14" s="382">
        <v>0</v>
      </c>
      <c r="H14" s="9">
        <f t="shared" si="0"/>
        <v>67</v>
      </c>
      <c r="I14" s="9">
        <f t="shared" si="1"/>
        <v>925</v>
      </c>
      <c r="J14" s="9">
        <f t="shared" si="2"/>
        <v>925</v>
      </c>
      <c r="K14" s="9">
        <f t="shared" si="3"/>
        <v>925</v>
      </c>
      <c r="L14" s="9">
        <f t="shared" si="4"/>
        <v>925</v>
      </c>
      <c r="M14" s="9">
        <f t="shared" si="5"/>
        <v>925</v>
      </c>
      <c r="N14" s="9">
        <f t="shared" si="6"/>
        <v>925</v>
      </c>
      <c r="O14" s="16"/>
    </row>
    <row r="15" spans="1:15" ht="12.75">
      <c r="A15" s="8">
        <v>6</v>
      </c>
      <c r="B15" s="19" t="s">
        <v>481</v>
      </c>
      <c r="C15" s="9">
        <f>'AT-3'!G14</f>
        <v>475</v>
      </c>
      <c r="D15" s="9">
        <v>96</v>
      </c>
      <c r="E15" s="9">
        <v>168</v>
      </c>
      <c r="F15" s="9">
        <v>178</v>
      </c>
      <c r="G15" s="382">
        <v>0</v>
      </c>
      <c r="H15" s="9">
        <f t="shared" si="0"/>
        <v>33</v>
      </c>
      <c r="I15" s="9">
        <f t="shared" si="1"/>
        <v>475</v>
      </c>
      <c r="J15" s="9">
        <f t="shared" si="2"/>
        <v>475</v>
      </c>
      <c r="K15" s="9">
        <f t="shared" si="3"/>
        <v>475</v>
      </c>
      <c r="L15" s="9">
        <f t="shared" si="4"/>
        <v>475</v>
      </c>
      <c r="M15" s="9">
        <f t="shared" si="5"/>
        <v>475</v>
      </c>
      <c r="N15" s="9">
        <f t="shared" si="6"/>
        <v>475</v>
      </c>
      <c r="O15" s="16"/>
    </row>
    <row r="16" spans="1:15" ht="12.75">
      <c r="A16" s="8">
        <v>7</v>
      </c>
      <c r="B16" s="19" t="s">
        <v>482</v>
      </c>
      <c r="C16" s="9">
        <f>'AT-3'!G15</f>
        <v>719</v>
      </c>
      <c r="D16" s="9">
        <v>142</v>
      </c>
      <c r="E16" s="9">
        <v>249</v>
      </c>
      <c r="F16" s="9">
        <v>278</v>
      </c>
      <c r="G16" s="382">
        <v>0</v>
      </c>
      <c r="H16" s="9">
        <f t="shared" si="0"/>
        <v>50</v>
      </c>
      <c r="I16" s="9">
        <f t="shared" si="1"/>
        <v>719</v>
      </c>
      <c r="J16" s="9">
        <f t="shared" si="2"/>
        <v>719</v>
      </c>
      <c r="K16" s="9">
        <f t="shared" si="3"/>
        <v>719</v>
      </c>
      <c r="L16" s="9">
        <f t="shared" si="4"/>
        <v>719</v>
      </c>
      <c r="M16" s="9">
        <f t="shared" si="5"/>
        <v>719</v>
      </c>
      <c r="N16" s="9">
        <f t="shared" si="6"/>
        <v>719</v>
      </c>
      <c r="O16" s="16"/>
    </row>
    <row r="17" spans="1:15" ht="12.75">
      <c r="A17" s="8">
        <v>8</v>
      </c>
      <c r="B17" s="19" t="s">
        <v>483</v>
      </c>
      <c r="C17" s="9">
        <f>'AT-3'!G16</f>
        <v>1140</v>
      </c>
      <c r="D17" s="9">
        <v>230</v>
      </c>
      <c r="E17" s="9">
        <v>402</v>
      </c>
      <c r="F17" s="9">
        <v>440</v>
      </c>
      <c r="G17" s="382">
        <v>0</v>
      </c>
      <c r="H17" s="9">
        <f t="shared" si="0"/>
        <v>68</v>
      </c>
      <c r="I17" s="9">
        <f t="shared" si="1"/>
        <v>1140</v>
      </c>
      <c r="J17" s="9">
        <f t="shared" si="2"/>
        <v>1140</v>
      </c>
      <c r="K17" s="9">
        <f t="shared" si="3"/>
        <v>1140</v>
      </c>
      <c r="L17" s="9">
        <f t="shared" si="4"/>
        <v>1140</v>
      </c>
      <c r="M17" s="9">
        <f t="shared" si="5"/>
        <v>1140</v>
      </c>
      <c r="N17" s="9">
        <f t="shared" si="6"/>
        <v>1140</v>
      </c>
      <c r="O17" s="16"/>
    </row>
    <row r="18" spans="1:14" ht="12.75">
      <c r="A18" s="3"/>
      <c r="B18" s="27" t="s">
        <v>484</v>
      </c>
      <c r="C18" s="9">
        <f aca="true" t="shared" si="7" ref="C18:N18">SUM(C10:C17)</f>
        <v>6529</v>
      </c>
      <c r="D18" s="9">
        <f t="shared" si="7"/>
        <v>1313</v>
      </c>
      <c r="E18" s="9">
        <f t="shared" si="7"/>
        <v>2298</v>
      </c>
      <c r="F18" s="9">
        <f t="shared" si="7"/>
        <v>2498</v>
      </c>
      <c r="G18" s="9">
        <f t="shared" si="7"/>
        <v>0</v>
      </c>
      <c r="H18" s="9">
        <f t="shared" si="7"/>
        <v>420</v>
      </c>
      <c r="I18" s="9">
        <f t="shared" si="7"/>
        <v>6529</v>
      </c>
      <c r="J18" s="9">
        <f t="shared" si="7"/>
        <v>6529</v>
      </c>
      <c r="K18" s="9">
        <f t="shared" si="7"/>
        <v>6529</v>
      </c>
      <c r="L18" s="9">
        <f t="shared" si="7"/>
        <v>6529</v>
      </c>
      <c r="M18" s="9">
        <f t="shared" si="7"/>
        <v>6529</v>
      </c>
      <c r="N18" s="9">
        <f t="shared" si="7"/>
        <v>6529</v>
      </c>
    </row>
    <row r="19" spans="1:14" ht="10.5" customHeight="1">
      <c r="A19" s="12"/>
      <c r="B19" s="28"/>
      <c r="C19" s="13"/>
      <c r="D19" s="13"/>
      <c r="E19" s="13"/>
      <c r="F19" s="13"/>
      <c r="G19" s="13"/>
      <c r="H19" s="13"/>
      <c r="I19" s="13"/>
      <c r="J19" s="13"/>
      <c r="K19" s="13"/>
      <c r="L19" s="13"/>
      <c r="M19" s="13"/>
      <c r="N19" s="13"/>
    </row>
    <row r="20" spans="1:14" ht="10.5" customHeight="1">
      <c r="A20" s="12"/>
      <c r="B20" s="28"/>
      <c r="C20" s="13"/>
      <c r="D20" s="13"/>
      <c r="E20" s="13"/>
      <c r="F20" s="13"/>
      <c r="G20" s="13"/>
      <c r="H20" s="13"/>
      <c r="I20" s="21" t="s">
        <v>10</v>
      </c>
      <c r="J20" s="13"/>
      <c r="K20" s="13"/>
      <c r="L20" s="13"/>
      <c r="M20" s="13"/>
      <c r="N20" s="13"/>
    </row>
    <row r="21" spans="1:14" ht="12.75">
      <c r="A21" s="12"/>
      <c r="B21" s="28"/>
      <c r="C21" s="13"/>
      <c r="D21" s="13"/>
      <c r="E21" s="13"/>
      <c r="F21" s="13"/>
      <c r="G21" s="13"/>
      <c r="H21" s="13"/>
      <c r="I21" s="13"/>
      <c r="J21" s="13"/>
      <c r="K21" s="13"/>
      <c r="L21" s="13"/>
      <c r="M21" s="13"/>
      <c r="N21" s="13"/>
    </row>
    <row r="22" spans="1:13" ht="12.75" customHeight="1">
      <c r="A22" s="188"/>
      <c r="B22" s="188"/>
      <c r="C22" s="188"/>
      <c r="D22" s="188"/>
      <c r="H22" s="743"/>
      <c r="I22" s="743"/>
      <c r="J22" s="743"/>
      <c r="K22" s="743"/>
      <c r="L22" s="743"/>
      <c r="M22" s="743"/>
    </row>
    <row r="23" spans="1:13" ht="12.75" customHeight="1">
      <c r="A23" s="188"/>
      <c r="B23" s="188"/>
      <c r="C23" s="188"/>
      <c r="D23" s="188"/>
      <c r="H23" s="743" t="s">
        <v>819</v>
      </c>
      <c r="I23" s="743"/>
      <c r="J23" s="743"/>
      <c r="K23" s="743"/>
      <c r="L23" s="743"/>
      <c r="M23" s="743"/>
    </row>
    <row r="24" spans="1:13" ht="12.75" customHeight="1">
      <c r="A24" s="188"/>
      <c r="B24" s="188"/>
      <c r="C24" s="188"/>
      <c r="D24" s="188"/>
      <c r="H24" s="743" t="s">
        <v>487</v>
      </c>
      <c r="I24" s="743"/>
      <c r="J24" s="743"/>
      <c r="K24" s="743"/>
      <c r="L24" s="743"/>
      <c r="M24" s="743"/>
    </row>
    <row r="25" spans="1:10" ht="12.75">
      <c r="A25" s="188" t="s">
        <v>11</v>
      </c>
      <c r="C25" s="188"/>
      <c r="D25" s="188"/>
      <c r="H25" s="190" t="s">
        <v>80</v>
      </c>
      <c r="I25" s="190"/>
      <c r="J25" s="190"/>
    </row>
    <row r="28" spans="4:7" ht="12.75">
      <c r="D28" s="347"/>
      <c r="E28" s="347"/>
      <c r="F28" s="347"/>
      <c r="G28" s="347"/>
    </row>
    <row r="29" spans="4:7" ht="12.75">
      <c r="D29" s="347"/>
      <c r="E29" s="347"/>
      <c r="F29" s="347"/>
      <c r="G29" s="347"/>
    </row>
    <row r="30" spans="4:7" ht="12.75">
      <c r="D30" s="347"/>
      <c r="E30" s="347"/>
      <c r="F30" s="347"/>
      <c r="G30" s="347"/>
    </row>
    <row r="31" spans="4:7" ht="12.75">
      <c r="D31" s="347"/>
      <c r="E31" s="347"/>
      <c r="F31" s="347"/>
      <c r="G31" s="347"/>
    </row>
    <row r="32" spans="4:7" ht="12.75">
      <c r="D32" s="347"/>
      <c r="E32" s="347"/>
      <c r="F32" s="347"/>
      <c r="G32" s="347"/>
    </row>
    <row r="33" spans="4:7" ht="12.75">
      <c r="D33" s="347"/>
      <c r="E33" s="347"/>
      <c r="F33" s="347"/>
      <c r="G33" s="347"/>
    </row>
    <row r="34" spans="4:7" ht="12.75">
      <c r="D34" s="347"/>
      <c r="E34" s="347"/>
      <c r="F34" s="347"/>
      <c r="G34" s="347"/>
    </row>
    <row r="35" spans="4:7" ht="12.75">
      <c r="D35" s="347"/>
      <c r="E35" s="347"/>
      <c r="F35" s="347"/>
      <c r="G35" s="347"/>
    </row>
    <row r="36" spans="8:10" ht="12.75">
      <c r="H36" s="16"/>
      <c r="I36" s="16"/>
      <c r="J36" s="16"/>
    </row>
  </sheetData>
  <sheetProtection/>
  <mergeCells count="14">
    <mergeCell ref="K7:N7"/>
    <mergeCell ref="K6:N6"/>
    <mergeCell ref="I7:I8"/>
    <mergeCell ref="J7:J8"/>
    <mergeCell ref="H24:M24"/>
    <mergeCell ref="A2:N2"/>
    <mergeCell ref="D7:H7"/>
    <mergeCell ref="C7:C8"/>
    <mergeCell ref="H22:M22"/>
    <mergeCell ref="H23:M23"/>
    <mergeCell ref="A7:A8"/>
    <mergeCell ref="B7:B8"/>
    <mergeCell ref="A5:N5"/>
    <mergeCell ref="A3:N3"/>
  </mergeCells>
  <printOptions horizontalCentered="1"/>
  <pageMargins left="0.7086614173228347" right="0.19" top="1.09" bottom="0" header="0.75" footer="0.31496062992125984"/>
  <pageSetup fitToHeight="1" fitToWidth="1" horizontalDpi="600" verticalDpi="600" orientation="landscape" paperSize="9" scale="92" r:id="rId1"/>
</worksheet>
</file>

<file path=xl/worksheets/sheet41.xml><?xml version="1.0" encoding="utf-8"?>
<worksheet xmlns="http://schemas.openxmlformats.org/spreadsheetml/2006/main" xmlns:r="http://schemas.openxmlformats.org/officeDocument/2006/relationships">
  <dimension ref="A1:I27"/>
  <sheetViews>
    <sheetView zoomScalePageLayoutView="0" workbookViewId="0" topLeftCell="A1">
      <selection activeCell="E18" sqref="E18"/>
    </sheetView>
  </sheetViews>
  <sheetFormatPr defaultColWidth="9.140625" defaultRowHeight="12.75"/>
  <cols>
    <col min="1" max="1" width="8.28125" style="0" customWidth="1"/>
    <col min="2" max="2" width="36.28125" style="0" customWidth="1"/>
    <col min="3" max="3" width="13.00390625" style="0" customWidth="1"/>
    <col min="4" max="6" width="15.57421875" style="0" customWidth="1"/>
    <col min="7" max="7" width="16.140625" style="0" customWidth="1"/>
    <col min="8" max="8" width="15.00390625" style="0" customWidth="1"/>
  </cols>
  <sheetData>
    <row r="1" spans="1:8" ht="18">
      <c r="A1" s="739" t="s">
        <v>0</v>
      </c>
      <c r="B1" s="739"/>
      <c r="C1" s="739"/>
      <c r="D1" s="739"/>
      <c r="E1" s="739"/>
      <c r="F1" s="739"/>
      <c r="G1" s="739"/>
      <c r="H1" s="216" t="s">
        <v>714</v>
      </c>
    </row>
    <row r="2" spans="1:7" ht="21">
      <c r="A2" s="740" t="s">
        <v>854</v>
      </c>
      <c r="B2" s="740"/>
      <c r="C2" s="740"/>
      <c r="D2" s="740"/>
      <c r="E2" s="740"/>
      <c r="F2" s="740"/>
      <c r="G2" s="740"/>
    </row>
    <row r="3" spans="1:7" ht="15">
      <c r="A3" s="183"/>
      <c r="B3" s="183"/>
      <c r="C3" s="183"/>
      <c r="D3" s="183"/>
      <c r="E3" s="183"/>
      <c r="F3" s="183"/>
      <c r="G3" s="183"/>
    </row>
    <row r="4" spans="1:7" ht="26.25" customHeight="1">
      <c r="A4" s="739" t="s">
        <v>715</v>
      </c>
      <c r="B4" s="739"/>
      <c r="C4" s="739"/>
      <c r="D4" s="739"/>
      <c r="E4" s="739"/>
      <c r="F4" s="739"/>
      <c r="G4" s="739"/>
    </row>
    <row r="5" spans="1:7" ht="21.75" customHeight="1">
      <c r="A5" s="393"/>
      <c r="B5" s="393"/>
      <c r="C5" s="393"/>
      <c r="D5" s="393"/>
      <c r="E5" s="393"/>
      <c r="F5" s="393"/>
      <c r="G5" s="393"/>
    </row>
    <row r="6" spans="1:7" ht="15">
      <c r="A6" s="184" t="s">
        <v>485</v>
      </c>
      <c r="B6" s="184"/>
      <c r="C6" s="184"/>
      <c r="D6" s="184"/>
      <c r="E6" s="184"/>
      <c r="F6" s="184"/>
      <c r="G6" s="184" t="s">
        <v>856</v>
      </c>
    </row>
    <row r="7" spans="1:8" ht="21.75" customHeight="1">
      <c r="A7" s="846" t="s">
        <v>2</v>
      </c>
      <c r="B7" s="846" t="s">
        <v>645</v>
      </c>
      <c r="C7" s="653" t="s">
        <v>34</v>
      </c>
      <c r="D7" s="653" t="s">
        <v>646</v>
      </c>
      <c r="E7" s="653"/>
      <c r="F7" s="753" t="s">
        <v>647</v>
      </c>
      <c r="G7" s="753"/>
      <c r="H7" s="846" t="s">
        <v>225</v>
      </c>
    </row>
    <row r="8" spans="1:8" ht="25.5" customHeight="1">
      <c r="A8" s="847"/>
      <c r="B8" s="847"/>
      <c r="C8" s="653"/>
      <c r="D8" s="257" t="s">
        <v>648</v>
      </c>
      <c r="E8" s="257" t="s">
        <v>649</v>
      </c>
      <c r="F8" s="158" t="s">
        <v>650</v>
      </c>
      <c r="G8" s="257" t="s">
        <v>651</v>
      </c>
      <c r="H8" s="847"/>
    </row>
    <row r="9" spans="1:8" ht="15">
      <c r="A9" s="185" t="s">
        <v>263</v>
      </c>
      <c r="B9" s="185" t="s">
        <v>264</v>
      </c>
      <c r="C9" s="185" t="s">
        <v>265</v>
      </c>
      <c r="D9" s="185" t="s">
        <v>266</v>
      </c>
      <c r="E9" s="185" t="s">
        <v>267</v>
      </c>
      <c r="F9" s="185" t="s">
        <v>268</v>
      </c>
      <c r="G9" s="185" t="s">
        <v>269</v>
      </c>
      <c r="H9" s="185">
        <v>8</v>
      </c>
    </row>
    <row r="10" spans="1:8" ht="15">
      <c r="A10" s="426">
        <v>1</v>
      </c>
      <c r="B10" s="874" t="s">
        <v>1038</v>
      </c>
      <c r="C10" s="19" t="s">
        <v>476</v>
      </c>
      <c r="D10" s="601">
        <v>6</v>
      </c>
      <c r="E10" s="601">
        <v>6</v>
      </c>
      <c r="F10" s="601"/>
      <c r="G10" s="601"/>
      <c r="H10" s="874" t="s">
        <v>1039</v>
      </c>
    </row>
    <row r="11" spans="1:8" ht="15" customHeight="1">
      <c r="A11" s="426">
        <v>2</v>
      </c>
      <c r="B11" s="875"/>
      <c r="C11" s="19" t="s">
        <v>477</v>
      </c>
      <c r="D11" s="602">
        <v>2</v>
      </c>
      <c r="E11" s="602">
        <v>2</v>
      </c>
      <c r="F11" s="602"/>
      <c r="G11" s="602"/>
      <c r="H11" s="875"/>
    </row>
    <row r="12" spans="1:8" ht="15" customHeight="1">
      <c r="A12" s="426">
        <v>3</v>
      </c>
      <c r="B12" s="875"/>
      <c r="C12" s="19" t="s">
        <v>478</v>
      </c>
      <c r="D12" s="602">
        <v>0</v>
      </c>
      <c r="E12" s="602">
        <v>0</v>
      </c>
      <c r="F12" s="602"/>
      <c r="G12" s="602"/>
      <c r="H12" s="875"/>
    </row>
    <row r="13" spans="1:8" ht="15" customHeight="1">
      <c r="A13" s="426">
        <v>4</v>
      </c>
      <c r="B13" s="875"/>
      <c r="C13" s="19" t="s">
        <v>479</v>
      </c>
      <c r="D13" s="602">
        <v>2</v>
      </c>
      <c r="E13" s="602">
        <v>2</v>
      </c>
      <c r="F13" s="602"/>
      <c r="G13" s="602"/>
      <c r="H13" s="875"/>
    </row>
    <row r="14" spans="1:8" ht="15">
      <c r="A14" s="426">
        <v>5</v>
      </c>
      <c r="B14" s="875"/>
      <c r="C14" s="19" t="s">
        <v>480</v>
      </c>
      <c r="D14" s="602">
        <v>5</v>
      </c>
      <c r="E14" s="602">
        <v>5</v>
      </c>
      <c r="F14" s="602"/>
      <c r="G14" s="602"/>
      <c r="H14" s="875"/>
    </row>
    <row r="15" spans="1:8" ht="15">
      <c r="A15" s="426">
        <v>6</v>
      </c>
      <c r="B15" s="875"/>
      <c r="C15" s="19" t="s">
        <v>481</v>
      </c>
      <c r="D15" s="602">
        <v>0</v>
      </c>
      <c r="E15" s="602">
        <v>0</v>
      </c>
      <c r="F15" s="602"/>
      <c r="G15" s="602"/>
      <c r="H15" s="875"/>
    </row>
    <row r="16" spans="1:8" ht="15">
      <c r="A16" s="426">
        <v>7</v>
      </c>
      <c r="B16" s="875"/>
      <c r="C16" s="19" t="s">
        <v>482</v>
      </c>
      <c r="D16" s="602">
        <v>1</v>
      </c>
      <c r="E16" s="602">
        <v>1</v>
      </c>
      <c r="F16" s="602"/>
      <c r="G16" s="602"/>
      <c r="H16" s="875"/>
    </row>
    <row r="17" spans="1:8" ht="15">
      <c r="A17" s="426">
        <v>8</v>
      </c>
      <c r="B17" s="876"/>
      <c r="C17" s="19" t="s">
        <v>483</v>
      </c>
      <c r="D17" s="602">
        <v>0</v>
      </c>
      <c r="E17" s="602">
        <v>0</v>
      </c>
      <c r="F17" s="602"/>
      <c r="G17" s="602"/>
      <c r="H17" s="876"/>
    </row>
    <row r="18" spans="1:8" ht="12.75">
      <c r="A18" s="27" t="s">
        <v>15</v>
      </c>
      <c r="B18" s="9"/>
      <c r="C18" s="3"/>
      <c r="D18" s="3">
        <f>SUM(D10:D17)</f>
        <v>16</v>
      </c>
      <c r="E18" s="3">
        <f>SUM(E10:E17)</f>
        <v>16</v>
      </c>
      <c r="F18" s="3">
        <f>SUM(F10:F17)</f>
        <v>0</v>
      </c>
      <c r="G18" s="3">
        <f>SUM(G10:G17)</f>
        <v>0</v>
      </c>
      <c r="H18" s="9"/>
    </row>
    <row r="21" spans="1:9" ht="12.75" customHeight="1">
      <c r="A21" s="188"/>
      <c r="B21" s="188"/>
      <c r="C21" s="188"/>
      <c r="D21" s="188"/>
      <c r="F21" s="743"/>
      <c r="G21" s="743"/>
      <c r="H21" s="743"/>
      <c r="I21" s="743"/>
    </row>
    <row r="22" spans="1:9" ht="12.75" customHeight="1">
      <c r="A22" s="188"/>
      <c r="B22" s="188"/>
      <c r="C22" s="188"/>
      <c r="D22" s="188"/>
      <c r="F22" s="743" t="s">
        <v>819</v>
      </c>
      <c r="G22" s="743"/>
      <c r="H22" s="743"/>
      <c r="I22" s="743"/>
    </row>
    <row r="23" spans="1:9" ht="12.75" customHeight="1">
      <c r="A23" s="188"/>
      <c r="B23" s="188"/>
      <c r="C23" s="188"/>
      <c r="D23" s="188"/>
      <c r="F23" s="743" t="s">
        <v>487</v>
      </c>
      <c r="G23" s="743"/>
      <c r="H23" s="743"/>
      <c r="I23" s="743"/>
    </row>
    <row r="24" spans="1:6" ht="12.75">
      <c r="A24" s="188" t="s">
        <v>11</v>
      </c>
      <c r="C24" s="188"/>
      <c r="D24" s="188"/>
      <c r="F24" s="190" t="s">
        <v>80</v>
      </c>
    </row>
    <row r="27" ht="12.75">
      <c r="D27" t="s">
        <v>10</v>
      </c>
    </row>
  </sheetData>
  <sheetProtection/>
  <mergeCells count="14">
    <mergeCell ref="C7:C8"/>
    <mergeCell ref="D7:E7"/>
    <mergeCell ref="B10:B17"/>
    <mergeCell ref="H10:H17"/>
    <mergeCell ref="F7:G7"/>
    <mergeCell ref="H7:H8"/>
    <mergeCell ref="F21:I21"/>
    <mergeCell ref="F22:I22"/>
    <mergeCell ref="F23:I23"/>
    <mergeCell ref="A1:G1"/>
    <mergeCell ref="A2:G2"/>
    <mergeCell ref="A4:G4"/>
    <mergeCell ref="A7:A8"/>
    <mergeCell ref="B7:B8"/>
  </mergeCells>
  <printOptions/>
  <pageMargins left="0.7" right="0.28" top="1.21" bottom="0.75" header="0.3" footer="0.3"/>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pageSetUpPr fitToPage="1"/>
  </sheetPr>
  <dimension ref="A1:N23"/>
  <sheetViews>
    <sheetView view="pageBreakPreview" zoomScale="90" zoomScaleSheetLayoutView="90" zoomScalePageLayoutView="0" workbookViewId="0" topLeftCell="A1">
      <selection activeCell="E11" sqref="E11:I13"/>
    </sheetView>
  </sheetViews>
  <sheetFormatPr defaultColWidth="9.140625" defaultRowHeight="12.75"/>
  <cols>
    <col min="1" max="1" width="6.421875" style="0" customWidth="1"/>
    <col min="2" max="2" width="15.421875" style="0" customWidth="1"/>
    <col min="3" max="3" width="15.28125" style="0" customWidth="1"/>
    <col min="4" max="5" width="15.421875" style="0" customWidth="1"/>
    <col min="6" max="9" width="15.7109375" style="0" customWidth="1"/>
    <col min="10" max="10" width="15.421875" style="0" customWidth="1"/>
    <col min="11" max="11" width="20.00390625" style="0" customWidth="1"/>
    <col min="12" max="12" width="14.7109375" style="0" customWidth="1"/>
  </cols>
  <sheetData>
    <row r="1" spans="1:12" ht="18">
      <c r="A1" s="739" t="s">
        <v>555</v>
      </c>
      <c r="B1" s="739"/>
      <c r="C1" s="739"/>
      <c r="D1" s="739"/>
      <c r="E1" s="739"/>
      <c r="F1" s="739"/>
      <c r="G1" s="739"/>
      <c r="H1" s="739"/>
      <c r="I1" s="739"/>
      <c r="J1" s="739"/>
      <c r="K1" s="739"/>
      <c r="L1" s="216" t="s">
        <v>716</v>
      </c>
    </row>
    <row r="2" spans="1:12" ht="21">
      <c r="A2" s="740" t="s">
        <v>854</v>
      </c>
      <c r="B2" s="740"/>
      <c r="C2" s="740"/>
      <c r="D2" s="740"/>
      <c r="E2" s="740"/>
      <c r="F2" s="740"/>
      <c r="G2" s="740"/>
      <c r="H2" s="740"/>
      <c r="I2" s="740"/>
      <c r="J2" s="740"/>
      <c r="K2" s="740"/>
      <c r="L2" s="740"/>
    </row>
    <row r="3" spans="1:11" ht="15">
      <c r="A3" s="183"/>
      <c r="B3" s="183"/>
      <c r="C3" s="183"/>
      <c r="D3" s="183"/>
      <c r="E3" s="183"/>
      <c r="F3" s="183"/>
      <c r="G3" s="183"/>
      <c r="H3" s="183"/>
      <c r="I3" s="183"/>
      <c r="J3" s="183"/>
      <c r="K3" s="183"/>
    </row>
    <row r="4" spans="1:12" ht="18">
      <c r="A4" s="739" t="s">
        <v>717</v>
      </c>
      <c r="B4" s="739"/>
      <c r="C4" s="739"/>
      <c r="D4" s="739"/>
      <c r="E4" s="739"/>
      <c r="F4" s="739"/>
      <c r="G4" s="739"/>
      <c r="H4" s="739"/>
      <c r="I4" s="739"/>
      <c r="J4" s="739"/>
      <c r="K4" s="739"/>
      <c r="L4" s="739"/>
    </row>
    <row r="5" spans="1:11" ht="15">
      <c r="A5" s="184" t="s">
        <v>485</v>
      </c>
      <c r="B5" s="184"/>
      <c r="C5" s="184"/>
      <c r="D5" s="184"/>
      <c r="E5" s="184"/>
      <c r="F5" s="184"/>
      <c r="G5" s="184"/>
      <c r="H5" s="184"/>
      <c r="I5" s="184"/>
      <c r="J5" s="184"/>
      <c r="K5" s="184" t="s">
        <v>856</v>
      </c>
    </row>
    <row r="6" spans="1:12" s="260" customFormat="1" ht="21.75" customHeight="1">
      <c r="A6" s="846" t="s">
        <v>2</v>
      </c>
      <c r="B6" s="846" t="s">
        <v>34</v>
      </c>
      <c r="C6" s="683" t="s">
        <v>466</v>
      </c>
      <c r="D6" s="753"/>
      <c r="E6" s="684"/>
      <c r="F6" s="683" t="s">
        <v>472</v>
      </c>
      <c r="G6" s="753"/>
      <c r="H6" s="753"/>
      <c r="I6" s="684"/>
      <c r="J6" s="653" t="s">
        <v>474</v>
      </c>
      <c r="K6" s="653"/>
      <c r="L6" s="653"/>
    </row>
    <row r="7" spans="1:12" s="260" customFormat="1" ht="29.25" customHeight="1">
      <c r="A7" s="847"/>
      <c r="B7" s="847"/>
      <c r="C7" s="357" t="s">
        <v>215</v>
      </c>
      <c r="D7" s="357" t="s">
        <v>468</v>
      </c>
      <c r="E7" s="357" t="s">
        <v>473</v>
      </c>
      <c r="F7" s="357" t="s">
        <v>215</v>
      </c>
      <c r="G7" s="357" t="s">
        <v>467</v>
      </c>
      <c r="H7" s="357" t="s">
        <v>469</v>
      </c>
      <c r="I7" s="357" t="s">
        <v>473</v>
      </c>
      <c r="J7" s="257" t="s">
        <v>470</v>
      </c>
      <c r="K7" s="257" t="s">
        <v>471</v>
      </c>
      <c r="L7" s="357" t="s">
        <v>473</v>
      </c>
    </row>
    <row r="8" spans="1:12" ht="15">
      <c r="A8" s="185" t="s">
        <v>263</v>
      </c>
      <c r="B8" s="185" t="s">
        <v>264</v>
      </c>
      <c r="C8" s="185" t="s">
        <v>265</v>
      </c>
      <c r="D8" s="185" t="s">
        <v>266</v>
      </c>
      <c r="E8" s="185" t="s">
        <v>267</v>
      </c>
      <c r="F8" s="185" t="s">
        <v>268</v>
      </c>
      <c r="G8" s="185" t="s">
        <v>269</v>
      </c>
      <c r="H8" s="185" t="s">
        <v>270</v>
      </c>
      <c r="I8" s="185" t="s">
        <v>289</v>
      </c>
      <c r="J8" s="185" t="s">
        <v>290</v>
      </c>
      <c r="K8" s="185" t="s">
        <v>291</v>
      </c>
      <c r="L8" s="185" t="s">
        <v>318</v>
      </c>
    </row>
    <row r="9" spans="1:14" ht="12.75">
      <c r="A9" s="8">
        <v>1</v>
      </c>
      <c r="B9" s="19" t="s">
        <v>476</v>
      </c>
      <c r="C9" s="9"/>
      <c r="D9" s="9"/>
      <c r="E9" s="9"/>
      <c r="F9" s="9"/>
      <c r="G9" s="9"/>
      <c r="H9" s="9"/>
      <c r="I9" s="9"/>
      <c r="J9" s="9"/>
      <c r="K9" s="9"/>
      <c r="L9" s="9"/>
      <c r="N9" t="s">
        <v>10</v>
      </c>
    </row>
    <row r="10" spans="1:12" ht="12.75">
      <c r="A10" s="8">
        <v>2</v>
      </c>
      <c r="B10" s="19" t="s">
        <v>477</v>
      </c>
      <c r="C10" s="9"/>
      <c r="D10" s="9"/>
      <c r="E10" s="9"/>
      <c r="F10" s="9"/>
      <c r="G10" s="9"/>
      <c r="H10" s="9"/>
      <c r="I10" s="9"/>
      <c r="J10" s="9"/>
      <c r="K10" s="9"/>
      <c r="L10" s="9"/>
    </row>
    <row r="11" spans="1:12" ht="12.75">
      <c r="A11" s="8">
        <v>3</v>
      </c>
      <c r="B11" s="19" t="s">
        <v>478</v>
      </c>
      <c r="C11" s="9"/>
      <c r="D11" s="9"/>
      <c r="E11" s="877" t="s">
        <v>1053</v>
      </c>
      <c r="F11" s="878"/>
      <c r="G11" s="878"/>
      <c r="H11" s="878"/>
      <c r="I11" s="879"/>
      <c r="J11" s="9"/>
      <c r="K11" s="9"/>
      <c r="L11" s="9"/>
    </row>
    <row r="12" spans="1:12" ht="12.75">
      <c r="A12" s="8">
        <v>4</v>
      </c>
      <c r="B12" s="19" t="s">
        <v>479</v>
      </c>
      <c r="C12" s="9"/>
      <c r="D12" s="9"/>
      <c r="E12" s="880"/>
      <c r="F12" s="881"/>
      <c r="G12" s="881"/>
      <c r="H12" s="881"/>
      <c r="I12" s="882"/>
      <c r="J12" s="9"/>
      <c r="K12" s="9"/>
      <c r="L12" s="9"/>
    </row>
    <row r="13" spans="1:12" ht="12.75">
      <c r="A13" s="8">
        <v>5</v>
      </c>
      <c r="B13" s="19" t="s">
        <v>480</v>
      </c>
      <c r="C13" s="9"/>
      <c r="D13" s="9"/>
      <c r="E13" s="883"/>
      <c r="F13" s="884"/>
      <c r="G13" s="884"/>
      <c r="H13" s="884"/>
      <c r="I13" s="885"/>
      <c r="J13" s="9"/>
      <c r="K13" s="9"/>
      <c r="L13" s="19" t="s">
        <v>403</v>
      </c>
    </row>
    <row r="14" spans="1:12" ht="12.75">
      <c r="A14" s="8">
        <v>6</v>
      </c>
      <c r="B14" s="19" t="s">
        <v>481</v>
      </c>
      <c r="C14" s="9"/>
      <c r="D14" s="9"/>
      <c r="E14" s="9"/>
      <c r="F14" s="9"/>
      <c r="G14" s="9"/>
      <c r="H14" s="9"/>
      <c r="I14" s="9"/>
      <c r="J14" s="9"/>
      <c r="K14" s="9"/>
      <c r="L14" s="9"/>
    </row>
    <row r="15" spans="1:12" ht="12.75">
      <c r="A15" s="8">
        <v>7</v>
      </c>
      <c r="B15" s="19" t="s">
        <v>482</v>
      </c>
      <c r="C15" s="9"/>
      <c r="D15" s="9"/>
      <c r="E15" s="9"/>
      <c r="F15" s="9"/>
      <c r="G15" s="9"/>
      <c r="H15" s="9"/>
      <c r="I15" s="9"/>
      <c r="J15" s="9"/>
      <c r="K15" s="9"/>
      <c r="L15" s="9"/>
    </row>
    <row r="16" spans="1:12" ht="12.75">
      <c r="A16" s="8">
        <v>8</v>
      </c>
      <c r="B16" s="19" t="s">
        <v>483</v>
      </c>
      <c r="C16" s="9"/>
      <c r="D16" s="9"/>
      <c r="E16" s="9"/>
      <c r="F16" s="9"/>
      <c r="G16" s="9"/>
      <c r="H16" s="9"/>
      <c r="I16" s="9"/>
      <c r="J16" s="9"/>
      <c r="K16" s="9"/>
      <c r="L16" s="9"/>
    </row>
    <row r="17" spans="1:12" ht="12.75">
      <c r="A17" s="3"/>
      <c r="B17" s="27" t="s">
        <v>484</v>
      </c>
      <c r="C17" s="9"/>
      <c r="D17" s="9"/>
      <c r="E17" s="9"/>
      <c r="F17" s="9"/>
      <c r="G17" s="9"/>
      <c r="H17" s="9"/>
      <c r="I17" s="9"/>
      <c r="J17" s="9"/>
      <c r="K17" s="9"/>
      <c r="L17" s="9"/>
    </row>
    <row r="18" spans="1:2" ht="12.75">
      <c r="A18" s="16" t="s">
        <v>559</v>
      </c>
      <c r="B18" s="618" t="s">
        <v>1055</v>
      </c>
    </row>
    <row r="19" ht="12.75">
      <c r="B19" t="s">
        <v>1056</v>
      </c>
    </row>
    <row r="20" spans="1:11" ht="12.75" customHeight="1">
      <c r="A20" s="188" t="s">
        <v>10</v>
      </c>
      <c r="B20" s="188"/>
      <c r="C20" s="188"/>
      <c r="D20" s="188"/>
      <c r="E20" s="188"/>
      <c r="F20" s="188"/>
      <c r="K20" s="189"/>
    </row>
    <row r="21" spans="1:12" ht="12.75" customHeight="1">
      <c r="A21" s="188"/>
      <c r="B21" s="188"/>
      <c r="C21" s="188"/>
      <c r="D21" s="188"/>
      <c r="E21" s="188"/>
      <c r="F21" s="188"/>
      <c r="J21" s="743" t="s">
        <v>819</v>
      </c>
      <c r="K21" s="743"/>
      <c r="L21" s="743"/>
    </row>
    <row r="22" spans="1:12" ht="12.75" customHeight="1">
      <c r="A22" s="188"/>
      <c r="B22" s="188"/>
      <c r="C22" s="188"/>
      <c r="D22" s="188"/>
      <c r="E22" s="188"/>
      <c r="F22" s="188"/>
      <c r="J22" s="697" t="s">
        <v>488</v>
      </c>
      <c r="K22" s="697"/>
      <c r="L22" s="697"/>
    </row>
    <row r="23" spans="1:10" ht="12.75">
      <c r="A23" s="188" t="s">
        <v>11</v>
      </c>
      <c r="F23" s="188"/>
      <c r="J23" s="15" t="s">
        <v>554</v>
      </c>
    </row>
  </sheetData>
  <sheetProtection/>
  <mergeCells count="11">
    <mergeCell ref="A6:A7"/>
    <mergeCell ref="B6:B7"/>
    <mergeCell ref="A2:L2"/>
    <mergeCell ref="A4:L4"/>
    <mergeCell ref="J22:L22"/>
    <mergeCell ref="E11:I13"/>
    <mergeCell ref="A1:K1"/>
    <mergeCell ref="C6:E6"/>
    <mergeCell ref="F6:I6"/>
    <mergeCell ref="J6:L6"/>
    <mergeCell ref="J21:L21"/>
  </mergeCells>
  <printOptions horizontalCentered="1"/>
  <pageMargins left="0.7086614173228347" right="0.22" top="1.45" bottom="0" header="0.31496062992125984" footer="0.31496062992125984"/>
  <pageSetup fitToHeight="1" fitToWidth="1" horizontalDpi="600" verticalDpi="600" orientation="landscape" paperSize="9" scale="77" r:id="rId1"/>
</worksheet>
</file>

<file path=xl/worksheets/sheet43.xml><?xml version="1.0" encoding="utf-8"?>
<worksheet xmlns="http://schemas.openxmlformats.org/spreadsheetml/2006/main" xmlns:r="http://schemas.openxmlformats.org/officeDocument/2006/relationships">
  <dimension ref="A1:K26"/>
  <sheetViews>
    <sheetView zoomScalePageLayoutView="0" workbookViewId="0" topLeftCell="A1">
      <selection activeCell="K15" sqref="K15"/>
    </sheetView>
  </sheetViews>
  <sheetFormatPr defaultColWidth="9.140625" defaultRowHeight="12.75"/>
  <cols>
    <col min="1" max="1" width="7.7109375" style="0" customWidth="1"/>
    <col min="2" max="2" width="12.00390625" style="0" customWidth="1"/>
    <col min="3" max="3" width="11.140625" style="0" customWidth="1"/>
    <col min="4" max="7" width="13.57421875" style="0" customWidth="1"/>
    <col min="8" max="8" width="12.8515625" style="0" customWidth="1"/>
    <col min="9" max="9" width="16.00390625" style="0" customWidth="1"/>
    <col min="10" max="10" width="15.00390625" style="0" customWidth="1"/>
    <col min="11" max="11" width="12.00390625" style="0" customWidth="1"/>
  </cols>
  <sheetData>
    <row r="1" ht="12.75">
      <c r="K1" s="216" t="s">
        <v>718</v>
      </c>
    </row>
    <row r="2" spans="1:11" ht="18">
      <c r="A2" s="739" t="s">
        <v>0</v>
      </c>
      <c r="B2" s="739"/>
      <c r="C2" s="739"/>
      <c r="D2" s="739"/>
      <c r="E2" s="739"/>
      <c r="F2" s="739"/>
      <c r="G2" s="739"/>
      <c r="H2" s="739"/>
      <c r="I2" s="739"/>
      <c r="J2" s="739"/>
      <c r="K2" s="739"/>
    </row>
    <row r="3" spans="1:11" ht="21">
      <c r="A3" s="740" t="s">
        <v>854</v>
      </c>
      <c r="B3" s="740"/>
      <c r="C3" s="740"/>
      <c r="D3" s="740"/>
      <c r="E3" s="740"/>
      <c r="F3" s="740"/>
      <c r="G3" s="740"/>
      <c r="H3" s="740"/>
      <c r="I3" s="740"/>
      <c r="J3" s="740"/>
      <c r="K3" s="740"/>
    </row>
    <row r="4" spans="1:10" ht="15">
      <c r="A4" s="183"/>
      <c r="B4" s="183"/>
      <c r="C4" s="183"/>
      <c r="D4" s="183"/>
      <c r="E4" s="183"/>
      <c r="F4" s="183"/>
      <c r="G4" s="183"/>
      <c r="H4" s="183"/>
      <c r="I4" s="183"/>
      <c r="J4" s="183"/>
    </row>
    <row r="5" spans="1:11" ht="18">
      <c r="A5" s="739" t="s">
        <v>719</v>
      </c>
      <c r="B5" s="739"/>
      <c r="C5" s="739"/>
      <c r="D5" s="739"/>
      <c r="E5" s="739"/>
      <c r="F5" s="739"/>
      <c r="G5" s="739"/>
      <c r="H5" s="739"/>
      <c r="I5" s="739"/>
      <c r="J5" s="739"/>
      <c r="K5" s="739"/>
    </row>
    <row r="6" spans="1:9" ht="15">
      <c r="A6" s="184" t="s">
        <v>485</v>
      </c>
      <c r="B6" s="184"/>
      <c r="C6" s="184"/>
      <c r="D6" s="184"/>
      <c r="E6" s="184"/>
      <c r="F6" s="184"/>
      <c r="I6" s="184"/>
    </row>
    <row r="7" spans="1:10" ht="15.75">
      <c r="A7" s="184"/>
      <c r="B7" s="184"/>
      <c r="C7" s="184"/>
      <c r="D7" s="184"/>
      <c r="E7" s="184"/>
      <c r="F7" s="184"/>
      <c r="I7" s="184"/>
      <c r="J7" s="568" t="s">
        <v>856</v>
      </c>
    </row>
    <row r="8" spans="1:11" ht="21.75" customHeight="1">
      <c r="A8" s="846" t="s">
        <v>2</v>
      </c>
      <c r="B8" s="846" t="s">
        <v>34</v>
      </c>
      <c r="C8" s="683" t="s">
        <v>652</v>
      </c>
      <c r="D8" s="753"/>
      <c r="E8" s="684"/>
      <c r="F8" s="683" t="s">
        <v>653</v>
      </c>
      <c r="G8" s="753"/>
      <c r="H8" s="684"/>
      <c r="I8" s="714" t="s">
        <v>801</v>
      </c>
      <c r="J8" s="714" t="s">
        <v>802</v>
      </c>
      <c r="K8" s="714" t="s">
        <v>74</v>
      </c>
    </row>
    <row r="9" spans="1:11" ht="26.25" customHeight="1">
      <c r="A9" s="847"/>
      <c r="B9" s="847"/>
      <c r="C9" s="257" t="s">
        <v>654</v>
      </c>
      <c r="D9" s="257" t="s">
        <v>655</v>
      </c>
      <c r="E9" s="257" t="s">
        <v>656</v>
      </c>
      <c r="F9" s="257" t="s">
        <v>654</v>
      </c>
      <c r="G9" s="257" t="s">
        <v>655</v>
      </c>
      <c r="H9" s="257" t="s">
        <v>656</v>
      </c>
      <c r="I9" s="716"/>
      <c r="J9" s="716"/>
      <c r="K9" s="716"/>
    </row>
    <row r="10" spans="1:11" ht="15">
      <c r="A10" s="427">
        <v>1</v>
      </c>
      <c r="B10" s="427">
        <v>2</v>
      </c>
      <c r="C10" s="528">
        <v>3</v>
      </c>
      <c r="D10" s="528">
        <v>4</v>
      </c>
      <c r="E10" s="528">
        <v>5</v>
      </c>
      <c r="F10" s="528">
        <v>6</v>
      </c>
      <c r="G10" s="528">
        <v>7</v>
      </c>
      <c r="H10" s="528">
        <v>8</v>
      </c>
      <c r="I10" s="528">
        <v>9</v>
      </c>
      <c r="J10" s="528">
        <v>10</v>
      </c>
      <c r="K10" s="528">
        <v>11</v>
      </c>
    </row>
    <row r="11" spans="1:11" ht="15">
      <c r="A11" s="8">
        <v>1</v>
      </c>
      <c r="B11" s="19" t="s">
        <v>476</v>
      </c>
      <c r="C11" s="622">
        <v>0</v>
      </c>
      <c r="D11" s="622">
        <v>0</v>
      </c>
      <c r="E11" s="622">
        <v>0</v>
      </c>
      <c r="F11" s="622">
        <v>0</v>
      </c>
      <c r="G11" s="622">
        <v>0</v>
      </c>
      <c r="H11" s="622">
        <v>0</v>
      </c>
      <c r="I11" s="622">
        <v>0</v>
      </c>
      <c r="J11" s="622">
        <v>0</v>
      </c>
      <c r="K11" s="623"/>
    </row>
    <row r="12" spans="1:11" ht="15" customHeight="1">
      <c r="A12" s="8">
        <v>2</v>
      </c>
      <c r="B12" s="19" t="s">
        <v>477</v>
      </c>
      <c r="C12" s="622">
        <v>0</v>
      </c>
      <c r="D12" s="622">
        <v>0</v>
      </c>
      <c r="E12" s="622">
        <v>0</v>
      </c>
      <c r="F12" s="622">
        <v>0</v>
      </c>
      <c r="G12" s="622">
        <v>0</v>
      </c>
      <c r="H12" s="622">
        <v>0</v>
      </c>
      <c r="I12" s="622">
        <v>0</v>
      </c>
      <c r="J12" s="622">
        <v>0</v>
      </c>
      <c r="K12" s="623"/>
    </row>
    <row r="13" spans="1:11" ht="15" customHeight="1">
      <c r="A13" s="8">
        <v>3</v>
      </c>
      <c r="B13" s="19" t="s">
        <v>478</v>
      </c>
      <c r="C13" s="622">
        <v>0</v>
      </c>
      <c r="D13" s="622">
        <v>0</v>
      </c>
      <c r="E13" s="622">
        <v>0</v>
      </c>
      <c r="F13" s="622">
        <v>0</v>
      </c>
      <c r="G13" s="622">
        <v>0</v>
      </c>
      <c r="H13" s="622">
        <v>0</v>
      </c>
      <c r="I13" s="622">
        <v>0</v>
      </c>
      <c r="J13" s="622">
        <v>0</v>
      </c>
      <c r="K13" s="623"/>
    </row>
    <row r="14" spans="1:11" ht="15" customHeight="1">
      <c r="A14" s="8">
        <v>4</v>
      </c>
      <c r="B14" s="19" t="s">
        <v>479</v>
      </c>
      <c r="C14" s="622">
        <v>0</v>
      </c>
      <c r="D14" s="622">
        <v>0</v>
      </c>
      <c r="E14" s="622">
        <v>0</v>
      </c>
      <c r="F14" s="622">
        <v>0</v>
      </c>
      <c r="G14" s="622">
        <v>0</v>
      </c>
      <c r="H14" s="622">
        <v>0</v>
      </c>
      <c r="I14" s="622">
        <v>0</v>
      </c>
      <c r="J14" s="622">
        <v>0</v>
      </c>
      <c r="K14" s="623"/>
    </row>
    <row r="15" spans="1:11" ht="15" customHeight="1">
      <c r="A15" s="8">
        <v>5</v>
      </c>
      <c r="B15" s="19" t="s">
        <v>480</v>
      </c>
      <c r="C15" s="622">
        <v>2</v>
      </c>
      <c r="D15" s="622">
        <v>3</v>
      </c>
      <c r="E15" s="622">
        <f>158+57</f>
        <v>215</v>
      </c>
      <c r="F15" s="622">
        <v>2</v>
      </c>
      <c r="G15" s="622">
        <v>3</v>
      </c>
      <c r="H15" s="622">
        <f>158+57</f>
        <v>215</v>
      </c>
      <c r="I15" s="622">
        <f>0.0374</f>
        <v>0.0374</v>
      </c>
      <c r="J15" s="622">
        <v>1556.68</v>
      </c>
      <c r="K15" s="623"/>
    </row>
    <row r="16" spans="1:11" ht="15">
      <c r="A16" s="8">
        <v>6</v>
      </c>
      <c r="B16" s="19" t="s">
        <v>481</v>
      </c>
      <c r="C16" s="622">
        <v>0</v>
      </c>
      <c r="D16" s="622">
        <v>0</v>
      </c>
      <c r="E16" s="622">
        <v>0</v>
      </c>
      <c r="F16" s="622">
        <v>0</v>
      </c>
      <c r="G16" s="622">
        <v>0</v>
      </c>
      <c r="H16" s="622">
        <v>0</v>
      </c>
      <c r="I16" s="622">
        <v>0</v>
      </c>
      <c r="J16" s="622">
        <v>0</v>
      </c>
      <c r="K16" s="623"/>
    </row>
    <row r="17" spans="1:11" ht="15">
      <c r="A17" s="8">
        <v>7</v>
      </c>
      <c r="B17" s="19" t="s">
        <v>482</v>
      </c>
      <c r="C17" s="622">
        <v>0</v>
      </c>
      <c r="D17" s="622">
        <v>0</v>
      </c>
      <c r="E17" s="622">
        <v>0</v>
      </c>
      <c r="F17" s="622">
        <v>0</v>
      </c>
      <c r="G17" s="622">
        <v>0</v>
      </c>
      <c r="H17" s="622">
        <v>0</v>
      </c>
      <c r="I17" s="622">
        <v>0</v>
      </c>
      <c r="J17" s="622">
        <v>0</v>
      </c>
      <c r="K17" s="623"/>
    </row>
    <row r="18" spans="1:11" ht="15">
      <c r="A18" s="8">
        <v>8</v>
      </c>
      <c r="B18" s="19" t="s">
        <v>483</v>
      </c>
      <c r="C18" s="622">
        <v>0</v>
      </c>
      <c r="D18" s="622">
        <v>0</v>
      </c>
      <c r="E18" s="622">
        <v>0</v>
      </c>
      <c r="F18" s="622">
        <v>0</v>
      </c>
      <c r="G18" s="622">
        <v>0</v>
      </c>
      <c r="H18" s="622">
        <v>0</v>
      </c>
      <c r="I18" s="622">
        <v>0</v>
      </c>
      <c r="J18" s="622">
        <v>0</v>
      </c>
      <c r="K18" s="623"/>
    </row>
    <row r="19" spans="1:11" s="15" customFormat="1" ht="12.75">
      <c r="A19" s="27" t="s">
        <v>15</v>
      </c>
      <c r="B19" s="27"/>
      <c r="C19" s="624">
        <f>SUM(C11:C18)</f>
        <v>2</v>
      </c>
      <c r="D19" s="624">
        <f aca="true" t="shared" si="0" ref="D19:J19">SUM(D11:D18)</f>
        <v>3</v>
      </c>
      <c r="E19" s="624">
        <f t="shared" si="0"/>
        <v>215</v>
      </c>
      <c r="F19" s="624">
        <f t="shared" si="0"/>
        <v>2</v>
      </c>
      <c r="G19" s="624">
        <f t="shared" si="0"/>
        <v>3</v>
      </c>
      <c r="H19" s="624">
        <f t="shared" si="0"/>
        <v>215</v>
      </c>
      <c r="I19" s="624">
        <f t="shared" si="0"/>
        <v>0.0374</v>
      </c>
      <c r="J19" s="624">
        <f t="shared" si="0"/>
        <v>1556.68</v>
      </c>
      <c r="K19" s="624"/>
    </row>
    <row r="22" spans="1:6" ht="12.75" customHeight="1">
      <c r="A22" s="188"/>
      <c r="B22" s="188"/>
      <c r="C22" s="188"/>
      <c r="D22" s="188"/>
      <c r="E22" s="188"/>
      <c r="F22" s="188"/>
    </row>
    <row r="23" spans="1:11" ht="12.75" customHeight="1">
      <c r="A23" s="188" t="s">
        <v>11</v>
      </c>
      <c r="B23" s="188"/>
      <c r="C23" s="188"/>
      <c r="D23" s="188"/>
      <c r="E23" s="188"/>
      <c r="F23" s="188"/>
      <c r="H23" s="201"/>
      <c r="I23" s="743"/>
      <c r="J23" s="743"/>
      <c r="K23" s="201"/>
    </row>
    <row r="24" spans="1:11" ht="12.75" customHeight="1">
      <c r="A24" s="188"/>
      <c r="B24" s="188"/>
      <c r="C24" s="188"/>
      <c r="D24" s="188"/>
      <c r="E24" s="188"/>
      <c r="F24" s="188"/>
      <c r="H24" s="201"/>
      <c r="I24" s="743" t="s">
        <v>819</v>
      </c>
      <c r="J24" s="743"/>
      <c r="K24" s="201"/>
    </row>
    <row r="25" spans="6:11" ht="12.75" customHeight="1">
      <c r="F25" s="188"/>
      <c r="H25" s="31"/>
      <c r="I25" s="697" t="s">
        <v>488</v>
      </c>
      <c r="J25" s="697"/>
      <c r="K25" s="31"/>
    </row>
    <row r="26" ht="12.75">
      <c r="I26" s="29" t="s">
        <v>80</v>
      </c>
    </row>
  </sheetData>
  <sheetProtection/>
  <mergeCells count="13">
    <mergeCell ref="A2:K2"/>
    <mergeCell ref="A3:K3"/>
    <mergeCell ref="A5:K5"/>
    <mergeCell ref="K8:K9"/>
    <mergeCell ref="I23:J23"/>
    <mergeCell ref="I24:J24"/>
    <mergeCell ref="I25:J25"/>
    <mergeCell ref="I8:I9"/>
    <mergeCell ref="J8:J9"/>
    <mergeCell ref="A8:A9"/>
    <mergeCell ref="B8:B9"/>
    <mergeCell ref="C8:E8"/>
    <mergeCell ref="F8:H8"/>
  </mergeCells>
  <printOptions/>
  <pageMargins left="0.52" right="0.29" top="0.99" bottom="0.75" header="0.3" footer="0.3"/>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pageSetUpPr fitToPage="1"/>
  </sheetPr>
  <dimension ref="A1:M37"/>
  <sheetViews>
    <sheetView view="pageBreakPreview" zoomScale="90" zoomScaleNormal="85" zoomScaleSheetLayoutView="90" zoomScalePageLayoutView="0" workbookViewId="0" topLeftCell="A1">
      <selection activeCell="L22" sqref="L22"/>
    </sheetView>
  </sheetViews>
  <sheetFormatPr defaultColWidth="9.140625" defaultRowHeight="12.75"/>
  <cols>
    <col min="1" max="1" width="4.57421875" style="0" customWidth="1"/>
    <col min="2" max="2" width="14.00390625" style="0" customWidth="1"/>
    <col min="3" max="4" width="12.7109375" style="0" customWidth="1"/>
    <col min="5" max="5" width="10.8515625" style="0" customWidth="1"/>
    <col min="6" max="6" width="13.421875" style="0" customWidth="1"/>
    <col min="7" max="7" width="11.8515625" style="0" customWidth="1"/>
    <col min="8" max="8" width="14.28125" style="0" customWidth="1"/>
    <col min="9" max="9" width="13.28125" style="0" customWidth="1"/>
    <col min="10" max="10" width="15.28125" style="0" customWidth="1"/>
    <col min="11" max="11" width="16.7109375" style="0" customWidth="1"/>
    <col min="12" max="12" width="15.57421875" style="0" customWidth="1"/>
  </cols>
  <sheetData>
    <row r="1" spans="1:12" ht="15">
      <c r="A1" s="89"/>
      <c r="B1" s="89"/>
      <c r="C1" s="89"/>
      <c r="D1" s="89"/>
      <c r="E1" s="89"/>
      <c r="F1" s="89"/>
      <c r="G1" s="89"/>
      <c r="H1" s="89"/>
      <c r="I1" s="89"/>
      <c r="K1" s="805" t="s">
        <v>83</v>
      </c>
      <c r="L1" s="805"/>
    </row>
    <row r="2" spans="1:12" ht="15.75">
      <c r="A2" s="732" t="s">
        <v>0</v>
      </c>
      <c r="B2" s="732"/>
      <c r="C2" s="732"/>
      <c r="D2" s="732"/>
      <c r="E2" s="732"/>
      <c r="F2" s="732"/>
      <c r="G2" s="732"/>
      <c r="H2" s="732"/>
      <c r="I2" s="732"/>
      <c r="J2" s="732"/>
      <c r="K2" s="732"/>
      <c r="L2" s="732"/>
    </row>
    <row r="3" spans="1:12" ht="20.25">
      <c r="A3" s="733" t="s">
        <v>854</v>
      </c>
      <c r="B3" s="733"/>
      <c r="C3" s="733"/>
      <c r="D3" s="733"/>
      <c r="E3" s="733"/>
      <c r="F3" s="733"/>
      <c r="G3" s="733"/>
      <c r="H3" s="733"/>
      <c r="I3" s="733"/>
      <c r="J3" s="733"/>
      <c r="K3" s="733"/>
      <c r="L3" s="733"/>
    </row>
    <row r="4" spans="1:12" ht="12.75">
      <c r="A4" s="89"/>
      <c r="B4" s="89"/>
      <c r="C4" s="89"/>
      <c r="D4" s="89"/>
      <c r="E4" s="89"/>
      <c r="F4" s="89"/>
      <c r="G4" s="89"/>
      <c r="H4" s="89"/>
      <c r="I4" s="89"/>
      <c r="J4" s="89"/>
      <c r="K4" s="89"/>
      <c r="L4" s="89"/>
    </row>
    <row r="5" spans="1:12" ht="15.75">
      <c r="A5" s="734" t="s">
        <v>925</v>
      </c>
      <c r="B5" s="734"/>
      <c r="C5" s="734"/>
      <c r="D5" s="734"/>
      <c r="E5" s="734"/>
      <c r="F5" s="734"/>
      <c r="G5" s="734"/>
      <c r="H5" s="734"/>
      <c r="I5" s="734"/>
      <c r="J5" s="734"/>
      <c r="K5" s="734"/>
      <c r="L5" s="734"/>
    </row>
    <row r="6" spans="1:12" ht="12.75">
      <c r="A6" s="89"/>
      <c r="B6" s="89"/>
      <c r="C6" s="89"/>
      <c r="D6" s="89"/>
      <c r="E6" s="89"/>
      <c r="F6" s="89"/>
      <c r="G6" s="89"/>
      <c r="H6" s="89"/>
      <c r="I6" s="89"/>
      <c r="J6" s="89"/>
      <c r="K6" s="89"/>
      <c r="L6" s="89"/>
    </row>
    <row r="7" spans="1:12" ht="12.75">
      <c r="A7" s="699" t="s">
        <v>475</v>
      </c>
      <c r="B7" s="699"/>
      <c r="C7" s="89"/>
      <c r="D7" s="89"/>
      <c r="E7" s="89"/>
      <c r="F7" s="89"/>
      <c r="G7" s="89"/>
      <c r="H7" s="886"/>
      <c r="I7" s="886"/>
      <c r="J7" s="89"/>
      <c r="K7" s="89"/>
      <c r="L7" s="89"/>
    </row>
    <row r="8" spans="1:12" ht="18">
      <c r="A8" s="92"/>
      <c r="B8" s="92"/>
      <c r="C8" s="89"/>
      <c r="D8" s="89"/>
      <c r="E8" s="89"/>
      <c r="F8" s="89"/>
      <c r="G8" s="89"/>
      <c r="H8" s="89"/>
      <c r="I8" s="229"/>
      <c r="J8" s="128"/>
      <c r="K8" s="113" t="s">
        <v>934</v>
      </c>
      <c r="L8" s="89"/>
    </row>
    <row r="9" spans="1:12" s="260" customFormat="1" ht="27.75" customHeight="1">
      <c r="A9" s="890" t="s">
        <v>504</v>
      </c>
      <c r="B9" s="890" t="s">
        <v>217</v>
      </c>
      <c r="C9" s="653" t="s">
        <v>953</v>
      </c>
      <c r="D9" s="653" t="s">
        <v>954</v>
      </c>
      <c r="E9" s="653" t="s">
        <v>216</v>
      </c>
      <c r="F9" s="653"/>
      <c r="G9" s="653" t="s">
        <v>452</v>
      </c>
      <c r="H9" s="653"/>
      <c r="I9" s="683" t="s">
        <v>228</v>
      </c>
      <c r="J9" s="684"/>
      <c r="K9" s="888" t="s">
        <v>231</v>
      </c>
      <c r="L9" s="889"/>
    </row>
    <row r="10" spans="1:12" s="260" customFormat="1" ht="43.5" customHeight="1">
      <c r="A10" s="891"/>
      <c r="B10" s="891"/>
      <c r="C10" s="653"/>
      <c r="D10" s="653"/>
      <c r="E10" s="257" t="s">
        <v>215</v>
      </c>
      <c r="F10" s="257" t="s">
        <v>197</v>
      </c>
      <c r="G10" s="257" t="s">
        <v>215</v>
      </c>
      <c r="H10" s="257" t="s">
        <v>197</v>
      </c>
      <c r="I10" s="295" t="s">
        <v>215</v>
      </c>
      <c r="J10" s="295" t="s">
        <v>197</v>
      </c>
      <c r="K10" s="257" t="s">
        <v>955</v>
      </c>
      <c r="L10" s="257" t="s">
        <v>956</v>
      </c>
    </row>
    <row r="11" spans="1:12" s="15" customFormat="1" ht="12.75">
      <c r="A11" s="94">
        <v>1</v>
      </c>
      <c r="B11" s="94">
        <v>2</v>
      </c>
      <c r="C11" s="94">
        <v>3</v>
      </c>
      <c r="D11" s="94">
        <v>4</v>
      </c>
      <c r="E11" s="94">
        <v>5</v>
      </c>
      <c r="F11" s="94">
        <v>6</v>
      </c>
      <c r="G11" s="94">
        <v>7</v>
      </c>
      <c r="H11" s="94">
        <v>8</v>
      </c>
      <c r="I11" s="94">
        <v>9</v>
      </c>
      <c r="J11" s="94">
        <v>10</v>
      </c>
      <c r="K11" s="93">
        <v>11</v>
      </c>
      <c r="L11" s="93">
        <v>12</v>
      </c>
    </row>
    <row r="12" spans="1:13" ht="17.25" customHeight="1">
      <c r="A12" s="271">
        <v>1</v>
      </c>
      <c r="B12" s="276" t="s">
        <v>476</v>
      </c>
      <c r="C12" s="543">
        <f>'AT-3'!G9</f>
        <v>917</v>
      </c>
      <c r="D12" s="543">
        <f>'enrolment vs availed_PY'!G11+'enrolment vs availed_UPY'!G11</f>
        <v>84208</v>
      </c>
      <c r="E12" s="544">
        <f>2591*C12/6529</f>
        <v>363.9067238474498</v>
      </c>
      <c r="F12" s="544">
        <f>163605*D12/446226</f>
        <v>30874.153097309434</v>
      </c>
      <c r="G12" s="543">
        <f>C12</f>
        <v>917</v>
      </c>
      <c r="H12" s="544">
        <f>D12</f>
        <v>84208</v>
      </c>
      <c r="I12" s="543">
        <f>C12</f>
        <v>917</v>
      </c>
      <c r="J12" s="544">
        <f>H12</f>
        <v>84208</v>
      </c>
      <c r="K12" s="544">
        <f>1522*D12/446226</f>
        <v>287.2189787237857</v>
      </c>
      <c r="L12" s="544">
        <v>0</v>
      </c>
      <c r="M12" s="347"/>
    </row>
    <row r="13" spans="1:13" ht="17.25" customHeight="1">
      <c r="A13" s="271">
        <v>2</v>
      </c>
      <c r="B13" s="276" t="s">
        <v>477</v>
      </c>
      <c r="C13" s="543">
        <f>'AT-3'!G10</f>
        <v>875</v>
      </c>
      <c r="D13" s="543">
        <f>'enrolment vs availed_PY'!G12+'enrolment vs availed_UPY'!G12</f>
        <v>61005</v>
      </c>
      <c r="E13" s="544">
        <f aca="true" t="shared" si="0" ref="E13:E19">2591*C13/6529</f>
        <v>347.2392403124521</v>
      </c>
      <c r="F13" s="544">
        <f aca="true" t="shared" si="1" ref="F13:F19">163605*D13/446226</f>
        <v>22366.968811768027</v>
      </c>
      <c r="G13" s="543">
        <f aca="true" t="shared" si="2" ref="G13:G19">C13</f>
        <v>875</v>
      </c>
      <c r="H13" s="544">
        <f aca="true" t="shared" si="3" ref="H13:H19">D13</f>
        <v>61005</v>
      </c>
      <c r="I13" s="543">
        <f aca="true" t="shared" si="4" ref="I13:I19">C13</f>
        <v>875</v>
      </c>
      <c r="J13" s="544">
        <f aca="true" t="shared" si="5" ref="J13:J19">H13</f>
        <v>61005</v>
      </c>
      <c r="K13" s="544">
        <f aca="true" t="shared" si="6" ref="K13:K19">1522*D13/446226</f>
        <v>208.07754366621398</v>
      </c>
      <c r="L13" s="544">
        <v>0</v>
      </c>
      <c r="M13" s="347"/>
    </row>
    <row r="14" spans="1:13" ht="17.25" customHeight="1">
      <c r="A14" s="271">
        <v>3</v>
      </c>
      <c r="B14" s="276" t="s">
        <v>478</v>
      </c>
      <c r="C14" s="543">
        <f>'AT-3'!G11</f>
        <v>668</v>
      </c>
      <c r="D14" s="543">
        <f>'enrolment vs availed_PY'!G13+'enrolment vs availed_UPY'!G13</f>
        <v>36508</v>
      </c>
      <c r="E14" s="544">
        <f t="shared" si="0"/>
        <v>265.09235717567776</v>
      </c>
      <c r="F14" s="544">
        <f t="shared" si="1"/>
        <v>13385.350338169448</v>
      </c>
      <c r="G14" s="543">
        <f t="shared" si="2"/>
        <v>668</v>
      </c>
      <c r="H14" s="544">
        <f t="shared" si="3"/>
        <v>36508</v>
      </c>
      <c r="I14" s="543">
        <f t="shared" si="4"/>
        <v>668</v>
      </c>
      <c r="J14" s="544">
        <f t="shared" si="5"/>
        <v>36508</v>
      </c>
      <c r="K14" s="544">
        <f t="shared" si="6"/>
        <v>124.52249756849668</v>
      </c>
      <c r="L14" s="544">
        <v>0</v>
      </c>
      <c r="M14" s="347"/>
    </row>
    <row r="15" spans="1:13" ht="17.25" customHeight="1">
      <c r="A15" s="271">
        <v>4</v>
      </c>
      <c r="B15" s="276" t="s">
        <v>479</v>
      </c>
      <c r="C15" s="543">
        <f>'AT-3'!G12</f>
        <v>810</v>
      </c>
      <c r="D15" s="543">
        <f>'enrolment vs availed_PY'!G14+'enrolment vs availed_UPY'!G14</f>
        <v>51978</v>
      </c>
      <c r="E15" s="544">
        <f t="shared" si="0"/>
        <v>321.44432531781285</v>
      </c>
      <c r="F15" s="544">
        <f t="shared" si="1"/>
        <v>19057.295383953424</v>
      </c>
      <c r="G15" s="543">
        <f t="shared" si="2"/>
        <v>810</v>
      </c>
      <c r="H15" s="544">
        <f t="shared" si="3"/>
        <v>51978</v>
      </c>
      <c r="I15" s="543">
        <f t="shared" si="4"/>
        <v>810</v>
      </c>
      <c r="J15" s="544">
        <f t="shared" si="5"/>
        <v>51978</v>
      </c>
      <c r="K15" s="544">
        <f t="shared" si="6"/>
        <v>177.2880020438074</v>
      </c>
      <c r="L15" s="544">
        <v>0</v>
      </c>
      <c r="M15" s="347"/>
    </row>
    <row r="16" spans="1:13" ht="17.25" customHeight="1">
      <c r="A16" s="271">
        <v>5</v>
      </c>
      <c r="B16" s="276" t="s">
        <v>480</v>
      </c>
      <c r="C16" s="543">
        <f>'AT-3'!G13</f>
        <v>925</v>
      </c>
      <c r="D16" s="543">
        <f>'enrolment vs availed_PY'!G15+'enrolment vs availed_UPY'!G15</f>
        <v>54657</v>
      </c>
      <c r="E16" s="544">
        <f t="shared" si="0"/>
        <v>367.0814826160208</v>
      </c>
      <c r="F16" s="544">
        <f t="shared" si="1"/>
        <v>20039.528142690026</v>
      </c>
      <c r="G16" s="543">
        <f t="shared" si="2"/>
        <v>925</v>
      </c>
      <c r="H16" s="544">
        <f t="shared" si="3"/>
        <v>54657</v>
      </c>
      <c r="I16" s="543">
        <f t="shared" si="4"/>
        <v>925</v>
      </c>
      <c r="J16" s="544">
        <f t="shared" si="5"/>
        <v>54657</v>
      </c>
      <c r="K16" s="544">
        <f t="shared" si="6"/>
        <v>186.42560944454155</v>
      </c>
      <c r="L16" s="544">
        <v>0</v>
      </c>
      <c r="M16" s="347"/>
    </row>
    <row r="17" spans="1:13" ht="17.25" customHeight="1">
      <c r="A17" s="271">
        <v>6</v>
      </c>
      <c r="B17" s="276" t="s">
        <v>481</v>
      </c>
      <c r="C17" s="543">
        <f>'AT-3'!G14</f>
        <v>475</v>
      </c>
      <c r="D17" s="543">
        <f>'enrolment vs availed_PY'!G16+'enrolment vs availed_UPY'!G16</f>
        <v>40502</v>
      </c>
      <c r="E17" s="544">
        <f t="shared" si="0"/>
        <v>188.50130188390258</v>
      </c>
      <c r="F17" s="544">
        <f t="shared" si="1"/>
        <v>14849.716757876055</v>
      </c>
      <c r="G17" s="543">
        <f t="shared" si="2"/>
        <v>475</v>
      </c>
      <c r="H17" s="544">
        <f t="shared" si="3"/>
        <v>40502</v>
      </c>
      <c r="I17" s="543">
        <f t="shared" si="4"/>
        <v>475</v>
      </c>
      <c r="J17" s="544">
        <f t="shared" si="5"/>
        <v>40502</v>
      </c>
      <c r="K17" s="544">
        <f t="shared" si="6"/>
        <v>138.14534339101712</v>
      </c>
      <c r="L17" s="544">
        <v>0</v>
      </c>
      <c r="M17" s="347"/>
    </row>
    <row r="18" spans="1:13" ht="17.25" customHeight="1">
      <c r="A18" s="271">
        <v>7</v>
      </c>
      <c r="B18" s="276" t="s">
        <v>482</v>
      </c>
      <c r="C18" s="543">
        <f>'AT-3'!G15</f>
        <v>719</v>
      </c>
      <c r="D18" s="543">
        <f>'enrolment vs availed_PY'!G17+'enrolment vs availed_UPY'!G17</f>
        <v>60198</v>
      </c>
      <c r="E18" s="544">
        <f t="shared" si="0"/>
        <v>285.3314443253178</v>
      </c>
      <c r="F18" s="544">
        <f t="shared" si="1"/>
        <v>22071.08906697503</v>
      </c>
      <c r="G18" s="543">
        <f t="shared" si="2"/>
        <v>719</v>
      </c>
      <c r="H18" s="544">
        <f t="shared" si="3"/>
        <v>60198</v>
      </c>
      <c r="I18" s="543">
        <f t="shared" si="4"/>
        <v>719</v>
      </c>
      <c r="J18" s="544">
        <f t="shared" si="5"/>
        <v>60198</v>
      </c>
      <c r="K18" s="544">
        <f t="shared" si="6"/>
        <v>205.32500571459306</v>
      </c>
      <c r="L18" s="544">
        <v>0</v>
      </c>
      <c r="M18" s="347"/>
    </row>
    <row r="19" spans="1:13" ht="17.25" customHeight="1">
      <c r="A19" s="271">
        <v>8</v>
      </c>
      <c r="B19" s="276" t="s">
        <v>483</v>
      </c>
      <c r="C19" s="543">
        <f>'AT-3'!G16</f>
        <v>1140</v>
      </c>
      <c r="D19" s="543">
        <f>'enrolment vs availed_PY'!G18+'enrolment vs availed_UPY'!G18</f>
        <v>57170</v>
      </c>
      <c r="E19" s="544">
        <f t="shared" si="0"/>
        <v>452.40312452136624</v>
      </c>
      <c r="F19" s="544">
        <f t="shared" si="1"/>
        <v>20960.898401258553</v>
      </c>
      <c r="G19" s="543">
        <f t="shared" si="2"/>
        <v>1140</v>
      </c>
      <c r="H19" s="544">
        <f t="shared" si="3"/>
        <v>57170</v>
      </c>
      <c r="I19" s="543">
        <f t="shared" si="4"/>
        <v>1140</v>
      </c>
      <c r="J19" s="544">
        <f t="shared" si="5"/>
        <v>57170</v>
      </c>
      <c r="K19" s="544">
        <f t="shared" si="6"/>
        <v>194.99701944754452</v>
      </c>
      <c r="L19" s="544">
        <v>0</v>
      </c>
      <c r="M19" s="347"/>
    </row>
    <row r="20" spans="1:13" ht="17.25" customHeight="1">
      <c r="A20" s="158"/>
      <c r="B20" s="275" t="s">
        <v>484</v>
      </c>
      <c r="C20" s="545">
        <f>SUM(C12:C19)</f>
        <v>6529</v>
      </c>
      <c r="D20" s="545">
        <f>SUM(D12:D19)</f>
        <v>446226</v>
      </c>
      <c r="E20" s="545">
        <f aca="true" t="shared" si="7" ref="E20:L20">SUM(E12:E19)</f>
        <v>2591.0000000000005</v>
      </c>
      <c r="F20" s="545">
        <f t="shared" si="7"/>
        <v>163605</v>
      </c>
      <c r="G20" s="545">
        <f t="shared" si="7"/>
        <v>6529</v>
      </c>
      <c r="H20" s="545">
        <f t="shared" si="7"/>
        <v>446226</v>
      </c>
      <c r="I20" s="545">
        <f t="shared" si="7"/>
        <v>6529</v>
      </c>
      <c r="J20" s="545">
        <f t="shared" si="7"/>
        <v>446226</v>
      </c>
      <c r="K20" s="545">
        <f t="shared" si="7"/>
        <v>1522</v>
      </c>
      <c r="L20" s="545">
        <f t="shared" si="7"/>
        <v>0</v>
      </c>
      <c r="M20" s="347"/>
    </row>
    <row r="21" spans="1:12" ht="12.75">
      <c r="A21" s="89"/>
      <c r="B21" s="89"/>
      <c r="C21" s="89"/>
      <c r="D21" s="89"/>
      <c r="E21" s="89"/>
      <c r="F21" s="89" t="s">
        <v>10</v>
      </c>
      <c r="G21" s="89"/>
      <c r="H21" s="89"/>
      <c r="I21" s="89"/>
      <c r="J21" s="89" t="s">
        <v>10</v>
      </c>
      <c r="K21" s="89" t="s">
        <v>10</v>
      </c>
      <c r="L21" s="89" t="s">
        <v>10</v>
      </c>
    </row>
    <row r="22" spans="1:12" ht="12.75">
      <c r="A22" s="492" t="s">
        <v>10</v>
      </c>
      <c r="B22" s="492"/>
      <c r="C22" s="492"/>
      <c r="D22" s="492"/>
      <c r="E22" s="492"/>
      <c r="F22" s="492"/>
      <c r="G22" s="492"/>
      <c r="H22" s="492"/>
      <c r="I22" s="492"/>
      <c r="J22" s="492"/>
      <c r="K22" s="492"/>
      <c r="L22" s="445" t="s">
        <v>10</v>
      </c>
    </row>
    <row r="23" spans="1:12" ht="12.75">
      <c r="A23" s="89"/>
      <c r="B23" s="89"/>
      <c r="C23" s="89"/>
      <c r="D23" s="89"/>
      <c r="E23" s="449"/>
      <c r="F23" s="89"/>
      <c r="G23" s="89"/>
      <c r="H23" s="89"/>
      <c r="I23" s="89"/>
      <c r="J23" s="89"/>
      <c r="K23" s="89"/>
      <c r="L23" s="89"/>
    </row>
    <row r="24" spans="1:12" ht="15.75" customHeight="1">
      <c r="A24" s="100" t="s">
        <v>11</v>
      </c>
      <c r="B24" s="100"/>
      <c r="C24" s="100"/>
      <c r="D24" s="100"/>
      <c r="E24" s="449"/>
      <c r="F24" s="89"/>
      <c r="G24" s="100"/>
      <c r="H24" s="450"/>
      <c r="I24" s="100"/>
      <c r="J24" s="887" t="s">
        <v>10</v>
      </c>
      <c r="K24" s="887"/>
      <c r="L24" s="887"/>
    </row>
    <row r="25" spans="2:12" ht="15.75" customHeight="1">
      <c r="B25" s="131"/>
      <c r="C25" s="131"/>
      <c r="D25" s="131"/>
      <c r="E25" s="449"/>
      <c r="F25" s="89"/>
      <c r="G25" s="131"/>
      <c r="H25" s="451"/>
      <c r="I25" s="131"/>
      <c r="J25" s="887" t="s">
        <v>819</v>
      </c>
      <c r="K25" s="887"/>
      <c r="L25" s="887"/>
    </row>
    <row r="26" spans="1:12" ht="15" customHeight="1">
      <c r="A26" s="131"/>
      <c r="B26" s="131"/>
      <c r="C26" s="131"/>
      <c r="D26" s="131"/>
      <c r="E26" s="449"/>
      <c r="F26" s="89"/>
      <c r="G26" s="131"/>
      <c r="H26" s="451"/>
      <c r="I26" s="131"/>
      <c r="J26" s="887" t="s">
        <v>488</v>
      </c>
      <c r="K26" s="887"/>
      <c r="L26" s="887"/>
    </row>
    <row r="27" spans="1:12" ht="15.75">
      <c r="A27" s="89"/>
      <c r="B27" s="89"/>
      <c r="C27" s="89"/>
      <c r="D27" s="89"/>
      <c r="E27" s="449"/>
      <c r="F27" s="89"/>
      <c r="H27" s="451"/>
      <c r="J27" s="31" t="s">
        <v>550</v>
      </c>
      <c r="K27" s="31"/>
      <c r="L27" s="31"/>
    </row>
    <row r="28" spans="5:8" ht="15.75">
      <c r="E28" s="449"/>
      <c r="F28" s="89"/>
      <c r="H28" s="451"/>
    </row>
    <row r="29" spans="5:8" ht="15.75">
      <c r="E29" s="449"/>
      <c r="F29" s="89"/>
      <c r="H29" s="451"/>
    </row>
    <row r="30" spans="5:8" ht="15.75">
      <c r="E30" s="449"/>
      <c r="F30" s="89"/>
      <c r="H30" s="451"/>
    </row>
    <row r="31" spans="5:8" ht="15.75">
      <c r="E31" s="449"/>
      <c r="F31" s="89"/>
      <c r="H31" s="451"/>
    </row>
    <row r="32" spans="5:8" ht="15.75">
      <c r="E32" s="89"/>
      <c r="F32" s="450"/>
      <c r="H32" s="451"/>
    </row>
    <row r="33" spans="5:8" ht="15.75">
      <c r="E33" s="89"/>
      <c r="F33" s="100"/>
      <c r="H33" s="131"/>
    </row>
    <row r="34" spans="5:6" ht="12.75">
      <c r="E34" s="89"/>
      <c r="F34" s="347"/>
    </row>
    <row r="35" spans="5:6" ht="12.75">
      <c r="E35" s="347"/>
      <c r="F35" s="347"/>
    </row>
    <row r="36" spans="5:6" ht="12.75">
      <c r="E36" s="347"/>
      <c r="F36" s="347"/>
    </row>
    <row r="37" spans="5:6" ht="12.75">
      <c r="E37" s="347"/>
      <c r="F37" s="347"/>
    </row>
  </sheetData>
  <sheetProtection/>
  <mergeCells count="17">
    <mergeCell ref="J24:L24"/>
    <mergeCell ref="J25:L25"/>
    <mergeCell ref="J26:L26"/>
    <mergeCell ref="A7:B7"/>
    <mergeCell ref="D9:D10"/>
    <mergeCell ref="E9:F9"/>
    <mergeCell ref="K9:L9"/>
    <mergeCell ref="B9:B10"/>
    <mergeCell ref="A9:A10"/>
    <mergeCell ref="C9:C10"/>
    <mergeCell ref="A2:L2"/>
    <mergeCell ref="A3:L3"/>
    <mergeCell ref="A5:L5"/>
    <mergeCell ref="K1:L1"/>
    <mergeCell ref="G9:H9"/>
    <mergeCell ref="I9:J9"/>
    <mergeCell ref="H7:I7"/>
  </mergeCells>
  <printOptions horizontalCentered="1"/>
  <pageMargins left="0.7086614173228347" right="0.25" top="0.99" bottom="0" header="0.69" footer="0.31496062992125984"/>
  <pageSetup fitToHeight="1" fitToWidth="1" horizontalDpi="600" verticalDpi="600" orientation="landscape" paperSize="9" scale="90"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IG28"/>
  <sheetViews>
    <sheetView view="pageBreakPreview" zoomScaleSheetLayoutView="100" zoomScalePageLayoutView="0" workbookViewId="0" topLeftCell="A1">
      <selection activeCell="E21" sqref="E21"/>
    </sheetView>
  </sheetViews>
  <sheetFormatPr defaultColWidth="8.8515625" defaultRowHeight="12.75"/>
  <cols>
    <col min="1" max="1" width="7.140625" style="89" customWidth="1"/>
    <col min="2" max="2" width="17.28125" style="89" customWidth="1"/>
    <col min="3" max="3" width="21.57421875" style="89" customWidth="1"/>
    <col min="4" max="4" width="23.140625" style="89" customWidth="1"/>
    <col min="5" max="5" width="22.140625" style="89" customWidth="1"/>
    <col min="6" max="6" width="20.7109375" style="89" customWidth="1"/>
    <col min="7" max="16384" width="8.8515625" style="89" customWidth="1"/>
  </cols>
  <sheetData>
    <row r="1" spans="4:6" ht="12.75" customHeight="1">
      <c r="D1" s="250"/>
      <c r="E1" s="250"/>
      <c r="F1" s="251" t="s">
        <v>95</v>
      </c>
    </row>
    <row r="2" spans="2:6" ht="15" customHeight="1">
      <c r="B2" s="732" t="s">
        <v>0</v>
      </c>
      <c r="C2" s="732"/>
      <c r="D2" s="732"/>
      <c r="E2" s="732"/>
      <c r="F2" s="732"/>
    </row>
    <row r="3" spans="2:6" ht="20.25">
      <c r="B3" s="733" t="s">
        <v>854</v>
      </c>
      <c r="C3" s="733"/>
      <c r="D3" s="733"/>
      <c r="E3" s="733"/>
      <c r="F3" s="733"/>
    </row>
    <row r="4" ht="11.25" customHeight="1"/>
    <row r="5" spans="1:6" ht="12.75">
      <c r="A5" s="894" t="s">
        <v>449</v>
      </c>
      <c r="B5" s="894"/>
      <c r="C5" s="894"/>
      <c r="D5" s="894"/>
      <c r="E5" s="894"/>
      <c r="F5" s="894"/>
    </row>
    <row r="6" spans="1:6" ht="8.25" customHeight="1">
      <c r="A6" s="91"/>
      <c r="B6" s="91"/>
      <c r="C6" s="91"/>
      <c r="D6" s="91"/>
      <c r="E6" s="91"/>
      <c r="F6" s="91"/>
    </row>
    <row r="7" spans="1:6" ht="15.75">
      <c r="A7" s="699" t="s">
        <v>475</v>
      </c>
      <c r="B7" s="699"/>
      <c r="C7" s="91"/>
      <c r="D7" s="91"/>
      <c r="E7" s="91"/>
      <c r="F7" s="91"/>
    </row>
    <row r="9" ht="18" customHeight="1" hidden="1">
      <c r="A9" s="92" t="s">
        <v>1</v>
      </c>
    </row>
    <row r="10" spans="1:6" s="307" customFormat="1" ht="30" customHeight="1">
      <c r="A10" s="890" t="s">
        <v>2</v>
      </c>
      <c r="B10" s="890" t="s">
        <v>3</v>
      </c>
      <c r="C10" s="895" t="s">
        <v>445</v>
      </c>
      <c r="D10" s="895"/>
      <c r="E10" s="895" t="s">
        <v>448</v>
      </c>
      <c r="F10" s="895"/>
    </row>
    <row r="11" spans="1:7" s="309" customFormat="1" ht="25.5">
      <c r="A11" s="890"/>
      <c r="B11" s="890"/>
      <c r="C11" s="262" t="s">
        <v>446</v>
      </c>
      <c r="D11" s="262" t="s">
        <v>447</v>
      </c>
      <c r="E11" s="262" t="s">
        <v>446</v>
      </c>
      <c r="F11" s="262" t="s">
        <v>447</v>
      </c>
      <c r="G11" s="308"/>
    </row>
    <row r="12" spans="1:6" s="156" customFormat="1" ht="12.75">
      <c r="A12" s="155">
        <v>1</v>
      </c>
      <c r="B12" s="155">
        <v>2</v>
      </c>
      <c r="C12" s="155">
        <v>3</v>
      </c>
      <c r="D12" s="155">
        <v>4</v>
      </c>
      <c r="E12" s="155">
        <v>5</v>
      </c>
      <c r="F12" s="155">
        <v>6</v>
      </c>
    </row>
    <row r="13" spans="1:6" ht="12.75">
      <c r="A13" s="8">
        <v>1</v>
      </c>
      <c r="B13" s="19" t="s">
        <v>476</v>
      </c>
      <c r="C13" s="97">
        <f>'AT-3'!C9</f>
        <v>599</v>
      </c>
      <c r="D13" s="97">
        <f>C13</f>
        <v>599</v>
      </c>
      <c r="E13" s="97">
        <f>'AT-3'!D9+'AT-3'!E9</f>
        <v>318</v>
      </c>
      <c r="F13" s="97">
        <f>E13</f>
        <v>318</v>
      </c>
    </row>
    <row r="14" spans="1:6" ht="12.75">
      <c r="A14" s="8">
        <v>2</v>
      </c>
      <c r="B14" s="19" t="s">
        <v>477</v>
      </c>
      <c r="C14" s="97">
        <f>'AT-3'!C10</f>
        <v>587</v>
      </c>
      <c r="D14" s="97">
        <f aca="true" t="shared" si="0" ref="D14:D20">C14</f>
        <v>587</v>
      </c>
      <c r="E14" s="97">
        <f>'AT-3'!D10+'AT-3'!E10</f>
        <v>288</v>
      </c>
      <c r="F14" s="97">
        <f aca="true" t="shared" si="1" ref="F14:F20">E14</f>
        <v>288</v>
      </c>
    </row>
    <row r="15" spans="1:6" ht="12.75">
      <c r="A15" s="8">
        <v>3</v>
      </c>
      <c r="B15" s="19" t="s">
        <v>478</v>
      </c>
      <c r="C15" s="97">
        <f>'AT-3'!C11</f>
        <v>456</v>
      </c>
      <c r="D15" s="97">
        <f t="shared" si="0"/>
        <v>456</v>
      </c>
      <c r="E15" s="97">
        <f>'AT-3'!D11+'AT-3'!E11</f>
        <v>212</v>
      </c>
      <c r="F15" s="97">
        <f t="shared" si="1"/>
        <v>212</v>
      </c>
    </row>
    <row r="16" spans="1:6" ht="12.75">
      <c r="A16" s="8">
        <v>4</v>
      </c>
      <c r="B16" s="19" t="s">
        <v>479</v>
      </c>
      <c r="C16" s="97">
        <f>'AT-3'!C12</f>
        <v>528</v>
      </c>
      <c r="D16" s="97">
        <f t="shared" si="0"/>
        <v>528</v>
      </c>
      <c r="E16" s="97">
        <f>'AT-3'!D12+'AT-3'!E12</f>
        <v>282</v>
      </c>
      <c r="F16" s="97">
        <f t="shared" si="1"/>
        <v>282</v>
      </c>
    </row>
    <row r="17" spans="1:6" ht="12.75">
      <c r="A17" s="8">
        <v>5</v>
      </c>
      <c r="B17" s="19" t="s">
        <v>480</v>
      </c>
      <c r="C17" s="97">
        <f>'AT-3'!C13</f>
        <v>617</v>
      </c>
      <c r="D17" s="97">
        <f t="shared" si="0"/>
        <v>617</v>
      </c>
      <c r="E17" s="97">
        <f>'AT-3'!D13+'AT-3'!E13</f>
        <v>308</v>
      </c>
      <c r="F17" s="97">
        <f t="shared" si="1"/>
        <v>308</v>
      </c>
    </row>
    <row r="18" spans="1:6" ht="12.75">
      <c r="A18" s="8">
        <v>6</v>
      </c>
      <c r="B18" s="19" t="s">
        <v>481</v>
      </c>
      <c r="C18" s="97">
        <f>'AT-3'!C14</f>
        <v>327</v>
      </c>
      <c r="D18" s="97">
        <f t="shared" si="0"/>
        <v>327</v>
      </c>
      <c r="E18" s="97">
        <f>'AT-3'!D14+'AT-3'!E14</f>
        <v>148</v>
      </c>
      <c r="F18" s="97">
        <f t="shared" si="1"/>
        <v>148</v>
      </c>
    </row>
    <row r="19" spans="1:6" ht="12.75">
      <c r="A19" s="8">
        <v>7</v>
      </c>
      <c r="B19" s="19" t="s">
        <v>482</v>
      </c>
      <c r="C19" s="97">
        <f>'AT-3'!C15</f>
        <v>476</v>
      </c>
      <c r="D19" s="97">
        <f t="shared" si="0"/>
        <v>476</v>
      </c>
      <c r="E19" s="97">
        <f>'AT-3'!D15+'AT-3'!E15</f>
        <v>243</v>
      </c>
      <c r="F19" s="97">
        <f t="shared" si="1"/>
        <v>243</v>
      </c>
    </row>
    <row r="20" spans="1:6" ht="12.75">
      <c r="A20" s="8">
        <v>8</v>
      </c>
      <c r="B20" s="19" t="s">
        <v>483</v>
      </c>
      <c r="C20" s="97">
        <f>'AT-3'!C16</f>
        <v>812</v>
      </c>
      <c r="D20" s="97">
        <f t="shared" si="0"/>
        <v>812</v>
      </c>
      <c r="E20" s="97">
        <f>'AT-3'!D16+'AT-3'!E16</f>
        <v>328</v>
      </c>
      <c r="F20" s="97">
        <f t="shared" si="1"/>
        <v>328</v>
      </c>
    </row>
    <row r="21" spans="1:6" ht="12.75">
      <c r="A21" s="3"/>
      <c r="B21" s="27" t="s">
        <v>484</v>
      </c>
      <c r="C21" s="97">
        <f>SUM(C13:C20)</f>
        <v>4402</v>
      </c>
      <c r="D21" s="97">
        <f>SUM(D13:D20)</f>
        <v>4402</v>
      </c>
      <c r="E21" s="97">
        <f>SUM(E13:E20)</f>
        <v>2127</v>
      </c>
      <c r="F21" s="97">
        <f>SUM(F13:F20)</f>
        <v>2127</v>
      </c>
    </row>
    <row r="22" ht="12.75">
      <c r="A22" s="99"/>
    </row>
    <row r="23" spans="1:241" ht="12.75">
      <c r="A23" s="892"/>
      <c r="B23" s="892"/>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2"/>
      <c r="AX23" s="892"/>
      <c r="AY23" s="892"/>
      <c r="AZ23" s="892"/>
      <c r="BA23" s="892"/>
      <c r="BB23" s="892"/>
      <c r="BC23" s="892"/>
      <c r="BD23" s="892"/>
      <c r="BE23" s="892"/>
      <c r="BF23" s="892"/>
      <c r="BG23" s="892"/>
      <c r="BH23" s="892"/>
      <c r="BI23" s="892"/>
      <c r="BJ23" s="892"/>
      <c r="BK23" s="892"/>
      <c r="BL23" s="892"/>
      <c r="BM23" s="892"/>
      <c r="BN23" s="892"/>
      <c r="BO23" s="892"/>
      <c r="BP23" s="892"/>
      <c r="BQ23" s="892"/>
      <c r="BR23" s="892"/>
      <c r="BS23" s="892"/>
      <c r="BT23" s="892"/>
      <c r="BU23" s="892"/>
      <c r="BV23" s="892"/>
      <c r="BW23" s="892"/>
      <c r="BX23" s="892"/>
      <c r="BY23" s="892"/>
      <c r="BZ23" s="892"/>
      <c r="CA23" s="892"/>
      <c r="CB23" s="892"/>
      <c r="CC23" s="892"/>
      <c r="CD23" s="892"/>
      <c r="CE23" s="892"/>
      <c r="CF23" s="892"/>
      <c r="CG23" s="892"/>
      <c r="CH23" s="892"/>
      <c r="CI23" s="892"/>
      <c r="CJ23" s="892"/>
      <c r="CK23" s="892"/>
      <c r="CL23" s="892"/>
      <c r="CM23" s="892"/>
      <c r="CN23" s="892"/>
      <c r="CO23" s="892"/>
      <c r="CP23" s="892"/>
      <c r="CQ23" s="892"/>
      <c r="CR23" s="892"/>
      <c r="CS23" s="892"/>
      <c r="CT23" s="892"/>
      <c r="CU23" s="892"/>
      <c r="CV23" s="892"/>
      <c r="CW23" s="892"/>
      <c r="CX23" s="892"/>
      <c r="CY23" s="892"/>
      <c r="CZ23" s="892"/>
      <c r="DA23" s="892"/>
      <c r="DB23" s="892"/>
      <c r="DC23" s="892"/>
      <c r="DD23" s="892"/>
      <c r="DE23" s="892"/>
      <c r="DF23" s="892"/>
      <c r="DG23" s="892"/>
      <c r="DH23" s="892"/>
      <c r="DI23" s="892"/>
      <c r="DJ23" s="892"/>
      <c r="DK23" s="892"/>
      <c r="DL23" s="892"/>
      <c r="DM23" s="892"/>
      <c r="DN23" s="892"/>
      <c r="DO23" s="892"/>
      <c r="DP23" s="892"/>
      <c r="DQ23" s="892"/>
      <c r="DR23" s="892"/>
      <c r="DS23" s="892"/>
      <c r="DT23" s="892"/>
      <c r="DU23" s="892"/>
      <c r="DV23" s="892"/>
      <c r="DW23" s="892"/>
      <c r="DX23" s="892"/>
      <c r="DY23" s="892"/>
      <c r="DZ23" s="892"/>
      <c r="EA23" s="892"/>
      <c r="EB23" s="892"/>
      <c r="EC23" s="892"/>
      <c r="ED23" s="892"/>
      <c r="EE23" s="892"/>
      <c r="EF23" s="892"/>
      <c r="EG23" s="892"/>
      <c r="EH23" s="892"/>
      <c r="EI23" s="892"/>
      <c r="EJ23" s="892"/>
      <c r="EK23" s="892"/>
      <c r="EL23" s="892"/>
      <c r="EM23" s="892"/>
      <c r="EN23" s="892"/>
      <c r="EO23" s="892"/>
      <c r="EP23" s="892"/>
      <c r="EQ23" s="892"/>
      <c r="ER23" s="892"/>
      <c r="ES23" s="892"/>
      <c r="ET23" s="892"/>
      <c r="EU23" s="892"/>
      <c r="EV23" s="892"/>
      <c r="EW23" s="892"/>
      <c r="EX23" s="892"/>
      <c r="EY23" s="892"/>
      <c r="EZ23" s="892"/>
      <c r="FA23" s="892"/>
      <c r="FB23" s="892"/>
      <c r="FC23" s="892"/>
      <c r="FD23" s="892"/>
      <c r="FE23" s="892"/>
      <c r="FF23" s="892"/>
      <c r="FG23" s="892"/>
      <c r="FH23" s="892"/>
      <c r="FI23" s="892"/>
      <c r="FJ23" s="892"/>
      <c r="FK23" s="892"/>
      <c r="FL23" s="892"/>
      <c r="FM23" s="892"/>
      <c r="FN23" s="892"/>
      <c r="FO23" s="892"/>
      <c r="FP23" s="892"/>
      <c r="FQ23" s="892"/>
      <c r="FR23" s="892"/>
      <c r="FS23" s="892"/>
      <c r="FT23" s="892"/>
      <c r="FU23" s="892"/>
      <c r="FV23" s="892"/>
      <c r="FW23" s="892"/>
      <c r="FX23" s="892"/>
      <c r="FY23" s="892"/>
      <c r="FZ23" s="892"/>
      <c r="GA23" s="892"/>
      <c r="GB23" s="892"/>
      <c r="GC23" s="892"/>
      <c r="GD23" s="892"/>
      <c r="GE23" s="892"/>
      <c r="GF23" s="892"/>
      <c r="GG23" s="892"/>
      <c r="GH23" s="892"/>
      <c r="GI23" s="892"/>
      <c r="GJ23" s="892"/>
      <c r="GK23" s="892"/>
      <c r="GL23" s="892"/>
      <c r="GM23" s="892"/>
      <c r="GN23" s="892"/>
      <c r="GO23" s="892"/>
      <c r="GP23" s="892"/>
      <c r="GQ23" s="892"/>
      <c r="GR23" s="892"/>
      <c r="GS23" s="892"/>
      <c r="GT23" s="892"/>
      <c r="GU23" s="892"/>
      <c r="GV23" s="892"/>
      <c r="GW23" s="892"/>
      <c r="GX23" s="892"/>
      <c r="GY23" s="892"/>
      <c r="GZ23" s="892"/>
      <c r="HA23" s="892"/>
      <c r="HB23" s="892"/>
      <c r="HC23" s="892"/>
      <c r="HD23" s="892"/>
      <c r="HE23" s="892"/>
      <c r="HF23" s="892"/>
      <c r="HG23" s="892"/>
      <c r="HH23" s="892"/>
      <c r="HI23" s="892"/>
      <c r="HJ23" s="892"/>
      <c r="HK23" s="892"/>
      <c r="HL23" s="892"/>
      <c r="HM23" s="892"/>
      <c r="HN23" s="892"/>
      <c r="HO23" s="892"/>
      <c r="HP23" s="892"/>
      <c r="HQ23" s="892"/>
      <c r="HR23" s="892"/>
      <c r="HS23" s="892"/>
      <c r="HT23" s="892"/>
      <c r="HU23" s="892"/>
      <c r="HV23" s="892"/>
      <c r="HW23" s="892"/>
      <c r="HX23" s="892"/>
      <c r="HY23" s="892"/>
      <c r="HZ23" s="892"/>
      <c r="IA23" s="892"/>
      <c r="IB23" s="892"/>
      <c r="IC23" s="892"/>
      <c r="ID23" s="892"/>
      <c r="IE23" s="892"/>
      <c r="IF23" s="892"/>
      <c r="IG23" s="892"/>
    </row>
    <row r="24" spans="1:6" ht="15">
      <c r="A24" s="315" t="s">
        <v>11</v>
      </c>
      <c r="B24" s="315"/>
      <c r="C24" s="315"/>
      <c r="D24" s="315"/>
      <c r="E24" s="315"/>
      <c r="F24" s="315"/>
    </row>
    <row r="25" spans="1:14" ht="15">
      <c r="A25" s="316"/>
      <c r="B25" s="316"/>
      <c r="C25" s="316"/>
      <c r="D25" s="316"/>
      <c r="E25" s="893"/>
      <c r="F25" s="893"/>
      <c r="I25" s="86"/>
      <c r="J25" s="86"/>
      <c r="K25" s="86"/>
      <c r="L25" s="86"/>
      <c r="M25" s="86"/>
      <c r="N25" s="86"/>
    </row>
    <row r="26" spans="1:14" ht="15">
      <c r="A26" s="316"/>
      <c r="B26" s="316"/>
      <c r="C26" s="316"/>
      <c r="D26" s="316" t="s">
        <v>10</v>
      </c>
      <c r="E26" s="642" t="s">
        <v>819</v>
      </c>
      <c r="F26" s="642"/>
      <c r="I26" s="31"/>
      <c r="J26" s="31"/>
      <c r="K26" s="31"/>
      <c r="L26" s="31"/>
      <c r="M26" s="31"/>
      <c r="N26" s="31"/>
    </row>
    <row r="27" spans="1:14" ht="15">
      <c r="A27" s="317"/>
      <c r="B27" s="317"/>
      <c r="C27" s="317"/>
      <c r="D27" s="317"/>
      <c r="E27" s="642" t="s">
        <v>487</v>
      </c>
      <c r="F27" s="642"/>
      <c r="I27" s="31"/>
      <c r="J27" s="31"/>
      <c r="K27" s="31"/>
      <c r="L27" s="31"/>
      <c r="M27" s="31"/>
      <c r="N27" s="31"/>
    </row>
    <row r="28" spans="1:14" ht="15">
      <c r="A28" s="317"/>
      <c r="B28" s="319"/>
      <c r="C28" s="319"/>
      <c r="D28" s="319"/>
      <c r="E28" s="153" t="s">
        <v>80</v>
      </c>
      <c r="F28" s="319"/>
      <c r="H28" s="31"/>
      <c r="J28" s="31"/>
      <c r="K28" s="31"/>
      <c r="L28" s="31"/>
      <c r="M28" s="31"/>
      <c r="N28" s="31"/>
    </row>
  </sheetData>
  <sheetProtection/>
  <mergeCells count="72">
    <mergeCell ref="A23:D23"/>
    <mergeCell ref="E23:F23"/>
    <mergeCell ref="Z23:AC23"/>
    <mergeCell ref="B3:F3"/>
    <mergeCell ref="B2:F2"/>
    <mergeCell ref="A5:F5"/>
    <mergeCell ref="C10:D10"/>
    <mergeCell ref="E10:F10"/>
    <mergeCell ref="A10:A11"/>
    <mergeCell ref="B10:B11"/>
    <mergeCell ref="A7:B7"/>
    <mergeCell ref="BR23:BU23"/>
    <mergeCell ref="AP23:AS23"/>
    <mergeCell ref="AT23:AW23"/>
    <mergeCell ref="AX23:BA23"/>
    <mergeCell ref="G23:I23"/>
    <mergeCell ref="J23:M23"/>
    <mergeCell ref="N23:Q23"/>
    <mergeCell ref="R23:U23"/>
    <mergeCell ref="V23:Y23"/>
    <mergeCell ref="AD23:AG23"/>
    <mergeCell ref="AH23:AK23"/>
    <mergeCell ref="AL23:AO23"/>
    <mergeCell ref="HB23:HE23"/>
    <mergeCell ref="FR23:FU23"/>
    <mergeCell ref="FV23:FY23"/>
    <mergeCell ref="FZ23:GC23"/>
    <mergeCell ref="GD23:GG23"/>
    <mergeCell ref="GH23:GK23"/>
    <mergeCell ref="GL23:GO23"/>
    <mergeCell ref="GX23:HA23"/>
    <mergeCell ref="GP23:GS23"/>
    <mergeCell ref="GT23:GW23"/>
    <mergeCell ref="ID23:IG23"/>
    <mergeCell ref="HF23:HI23"/>
    <mergeCell ref="HJ23:HM23"/>
    <mergeCell ref="HN23:HQ23"/>
    <mergeCell ref="HR23:HU23"/>
    <mergeCell ref="HV23:HY23"/>
    <mergeCell ref="HZ23:IC23"/>
    <mergeCell ref="FJ23:FM23"/>
    <mergeCell ref="FN23:FQ23"/>
    <mergeCell ref="EL23:EO23"/>
    <mergeCell ref="EP23:ES23"/>
    <mergeCell ref="E25:F25"/>
    <mergeCell ref="ET23:EW23"/>
    <mergeCell ref="EX23:FA23"/>
    <mergeCell ref="FB23:FE23"/>
    <mergeCell ref="FF23:FI23"/>
    <mergeCell ref="BB23:BE23"/>
    <mergeCell ref="DN23:DQ23"/>
    <mergeCell ref="DR23:DU23"/>
    <mergeCell ref="DV23:DY23"/>
    <mergeCell ref="DZ23:EC23"/>
    <mergeCell ref="CP23:CS23"/>
    <mergeCell ref="CL23:CO23"/>
    <mergeCell ref="E26:F26"/>
    <mergeCell ref="E27:F27"/>
    <mergeCell ref="CT23:CW23"/>
    <mergeCell ref="ED23:EG23"/>
    <mergeCell ref="EH23:EK23"/>
    <mergeCell ref="CX23:DA23"/>
    <mergeCell ref="DB23:DE23"/>
    <mergeCell ref="DF23:DI23"/>
    <mergeCell ref="DJ23:DM23"/>
    <mergeCell ref="BV23:BY23"/>
    <mergeCell ref="BZ23:CC23"/>
    <mergeCell ref="CD23:CG23"/>
    <mergeCell ref="CH23:CK23"/>
    <mergeCell ref="BF23:BI23"/>
    <mergeCell ref="BJ23:BM23"/>
    <mergeCell ref="BN23:BQ23"/>
  </mergeCells>
  <printOptions horizontalCentered="1"/>
  <pageMargins left="0.34" right="0.27" top="1.33" bottom="0" header="1.03" footer="0.31496062992125984"/>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pageSetUpPr fitToPage="1"/>
  </sheetPr>
  <dimension ref="A1:M34"/>
  <sheetViews>
    <sheetView view="pageBreakPreview" zoomScaleNormal="85" zoomScaleSheetLayoutView="100" zoomScalePageLayoutView="0" workbookViewId="0" topLeftCell="A1">
      <selection activeCell="B9" sqref="B9:B10"/>
    </sheetView>
  </sheetViews>
  <sheetFormatPr defaultColWidth="9.140625" defaultRowHeight="12.75"/>
  <cols>
    <col min="1" max="1" width="5.57421875" style="0" customWidth="1"/>
    <col min="2" max="2" width="14.8515625" style="0" customWidth="1"/>
    <col min="3" max="3" width="16.421875" style="0" customWidth="1"/>
    <col min="4" max="4" width="10.8515625" style="0" customWidth="1"/>
    <col min="5" max="5" width="13.7109375" style="0" customWidth="1"/>
    <col min="6" max="6" width="14.28125" style="0" customWidth="1"/>
    <col min="7" max="7" width="11.421875" style="0" customWidth="1"/>
    <col min="8" max="8" width="12.28125" style="0" customWidth="1"/>
    <col min="9" max="9" width="16.28125" style="0" customWidth="1"/>
    <col min="10" max="10" width="19.28125" style="0" customWidth="1"/>
  </cols>
  <sheetData>
    <row r="1" spans="1:13" ht="15">
      <c r="A1" s="89"/>
      <c r="B1" s="89"/>
      <c r="C1" s="89"/>
      <c r="D1" s="744"/>
      <c r="E1" s="744"/>
      <c r="F1" s="42"/>
      <c r="G1" s="744" t="s">
        <v>451</v>
      </c>
      <c r="H1" s="744"/>
      <c r="I1" s="744"/>
      <c r="J1" s="744"/>
      <c r="K1" s="102"/>
      <c r="L1" s="89"/>
      <c r="M1" s="89"/>
    </row>
    <row r="2" spans="1:13" ht="15.75">
      <c r="A2" s="732" t="s">
        <v>0</v>
      </c>
      <c r="B2" s="732"/>
      <c r="C2" s="732"/>
      <c r="D2" s="732"/>
      <c r="E2" s="732"/>
      <c r="F2" s="732"/>
      <c r="G2" s="732"/>
      <c r="H2" s="732"/>
      <c r="I2" s="732"/>
      <c r="J2" s="732"/>
      <c r="K2" s="89"/>
      <c r="L2" s="89"/>
      <c r="M2" s="89"/>
    </row>
    <row r="3" spans="1:13" ht="18">
      <c r="A3" s="125"/>
      <c r="B3" s="125"/>
      <c r="C3" s="901" t="s">
        <v>854</v>
      </c>
      <c r="D3" s="901"/>
      <c r="E3" s="901"/>
      <c r="F3" s="901"/>
      <c r="G3" s="901"/>
      <c r="H3" s="901"/>
      <c r="I3" s="901"/>
      <c r="J3" s="125"/>
      <c r="K3" s="89"/>
      <c r="L3" s="89"/>
      <c r="M3" s="89"/>
    </row>
    <row r="4" spans="1:13" ht="18">
      <c r="A4" s="125"/>
      <c r="B4" s="125"/>
      <c r="C4" s="298"/>
      <c r="D4" s="298"/>
      <c r="E4" s="298"/>
      <c r="F4" s="298"/>
      <c r="G4" s="298"/>
      <c r="H4" s="298"/>
      <c r="I4" s="298"/>
      <c r="J4" s="125"/>
      <c r="K4" s="89"/>
      <c r="L4" s="89"/>
      <c r="M4" s="89"/>
    </row>
    <row r="5" spans="1:13" ht="15.75">
      <c r="A5" s="734" t="s">
        <v>450</v>
      </c>
      <c r="B5" s="734"/>
      <c r="C5" s="734"/>
      <c r="D5" s="734"/>
      <c r="E5" s="734"/>
      <c r="F5" s="734"/>
      <c r="G5" s="734"/>
      <c r="H5" s="734"/>
      <c r="I5" s="734"/>
      <c r="J5" s="734"/>
      <c r="K5" s="89"/>
      <c r="L5" s="89"/>
      <c r="M5" s="89"/>
    </row>
    <row r="6" spans="1:13" ht="15.75">
      <c r="A6" s="91"/>
      <c r="B6" s="91"/>
      <c r="C6" s="91"/>
      <c r="D6" s="91"/>
      <c r="E6" s="91"/>
      <c r="F6" s="91"/>
      <c r="G6" s="91"/>
      <c r="H6" s="91"/>
      <c r="I6" s="91"/>
      <c r="J6" s="91"/>
      <c r="K6" s="89"/>
      <c r="L6" s="89"/>
      <c r="M6" s="89"/>
    </row>
    <row r="7" spans="1:13" ht="15.75">
      <c r="A7" s="699" t="s">
        <v>475</v>
      </c>
      <c r="B7" s="699"/>
      <c r="C7" s="91"/>
      <c r="D7" s="91"/>
      <c r="E7" s="91"/>
      <c r="F7" s="91"/>
      <c r="G7" s="91"/>
      <c r="H7" s="91"/>
      <c r="I7" s="91"/>
      <c r="J7" s="91"/>
      <c r="K7" s="89"/>
      <c r="L7" s="89"/>
      <c r="M7" s="89"/>
    </row>
    <row r="8" spans="1:13" ht="18">
      <c r="A8" s="92"/>
      <c r="B8" s="89"/>
      <c r="C8" s="89"/>
      <c r="D8" s="89"/>
      <c r="E8" s="89"/>
      <c r="F8" s="89"/>
      <c r="G8" s="89"/>
      <c r="H8" s="89"/>
      <c r="I8" s="89"/>
      <c r="J8" s="89"/>
      <c r="K8" s="89"/>
      <c r="L8" s="89"/>
      <c r="M8" s="89"/>
    </row>
    <row r="9" spans="1:13" s="260" customFormat="1" ht="21.75" customHeight="1">
      <c r="A9" s="896" t="s">
        <v>2</v>
      </c>
      <c r="B9" s="896" t="s">
        <v>3</v>
      </c>
      <c r="C9" s="898" t="s">
        <v>139</v>
      </c>
      <c r="D9" s="899"/>
      <c r="E9" s="899"/>
      <c r="F9" s="899"/>
      <c r="G9" s="899"/>
      <c r="H9" s="899"/>
      <c r="I9" s="899"/>
      <c r="J9" s="900"/>
      <c r="K9" s="310"/>
      <c r="L9" s="310"/>
      <c r="M9" s="310"/>
    </row>
    <row r="10" spans="1:13" s="260" customFormat="1" ht="32.25" customHeight="1">
      <c r="A10" s="897"/>
      <c r="B10" s="897"/>
      <c r="C10" s="262" t="s">
        <v>195</v>
      </c>
      <c r="D10" s="262" t="s">
        <v>117</v>
      </c>
      <c r="E10" s="262" t="s">
        <v>391</v>
      </c>
      <c r="F10" s="311" t="s">
        <v>167</v>
      </c>
      <c r="G10" s="311" t="s">
        <v>118</v>
      </c>
      <c r="H10" s="312" t="s">
        <v>194</v>
      </c>
      <c r="I10" s="312" t="s">
        <v>689</v>
      </c>
      <c r="J10" s="313" t="s">
        <v>15</v>
      </c>
      <c r="K10" s="314"/>
      <c r="L10" s="314"/>
      <c r="M10" s="314"/>
    </row>
    <row r="11" spans="1:13" s="15" customFormat="1" ht="12.75">
      <c r="A11" s="94">
        <v>1</v>
      </c>
      <c r="B11" s="94">
        <v>2</v>
      </c>
      <c r="C11" s="94">
        <v>3</v>
      </c>
      <c r="D11" s="94">
        <v>4</v>
      </c>
      <c r="E11" s="94">
        <v>5</v>
      </c>
      <c r="F11" s="94">
        <v>6</v>
      </c>
      <c r="G11" s="94">
        <v>7</v>
      </c>
      <c r="H11" s="96">
        <v>8</v>
      </c>
      <c r="I11" s="96">
        <v>9</v>
      </c>
      <c r="J11" s="95">
        <v>10</v>
      </c>
      <c r="K11" s="101"/>
      <c r="L11" s="101"/>
      <c r="M11" s="101"/>
    </row>
    <row r="12" spans="1:13" ht="12.75">
      <c r="A12" s="8">
        <v>1</v>
      </c>
      <c r="B12" s="19" t="s">
        <v>476</v>
      </c>
      <c r="C12" s="97">
        <v>1</v>
      </c>
      <c r="D12" s="97">
        <v>0</v>
      </c>
      <c r="E12" s="97">
        <v>0</v>
      </c>
      <c r="F12" s="97">
        <v>0</v>
      </c>
      <c r="G12" s="97">
        <v>0</v>
      </c>
      <c r="H12" s="147">
        <v>0</v>
      </c>
      <c r="I12" s="147">
        <f>J12-(C12+D12+E12+F12+G12+H12)</f>
        <v>916</v>
      </c>
      <c r="J12" s="98">
        <f>'AT-3'!G9</f>
        <v>917</v>
      </c>
      <c r="K12" s="89"/>
      <c r="L12" s="89"/>
      <c r="M12" s="89"/>
    </row>
    <row r="13" spans="1:13" ht="12.75">
      <c r="A13" s="8">
        <v>2</v>
      </c>
      <c r="B13" s="19" t="s">
        <v>477</v>
      </c>
      <c r="C13" s="97">
        <v>0</v>
      </c>
      <c r="D13" s="97">
        <v>0</v>
      </c>
      <c r="E13" s="97">
        <v>0</v>
      </c>
      <c r="F13" s="97">
        <v>0</v>
      </c>
      <c r="G13" s="97">
        <v>0</v>
      </c>
      <c r="H13" s="147">
        <v>0</v>
      </c>
      <c r="I13" s="147">
        <f aca="true" t="shared" si="0" ref="I13:I19">J13-(C13+D13+E13+F13+G13+H13)</f>
        <v>875</v>
      </c>
      <c r="J13" s="98">
        <f>'AT-3'!G10</f>
        <v>875</v>
      </c>
      <c r="K13" s="89"/>
      <c r="L13" s="89"/>
      <c r="M13" s="89"/>
    </row>
    <row r="14" spans="1:13" ht="12.75">
      <c r="A14" s="8">
        <v>3</v>
      </c>
      <c r="B14" s="19" t="s">
        <v>478</v>
      </c>
      <c r="C14" s="97">
        <v>0</v>
      </c>
      <c r="D14" s="97">
        <v>0</v>
      </c>
      <c r="E14" s="97">
        <v>0</v>
      </c>
      <c r="F14" s="97">
        <v>0</v>
      </c>
      <c r="G14" s="97">
        <v>0</v>
      </c>
      <c r="H14" s="147">
        <v>0</v>
      </c>
      <c r="I14" s="147">
        <f t="shared" si="0"/>
        <v>668</v>
      </c>
      <c r="J14" s="98">
        <f>'AT-3'!G11</f>
        <v>668</v>
      </c>
      <c r="K14" s="89"/>
      <c r="L14" s="89"/>
      <c r="M14" s="89"/>
    </row>
    <row r="15" spans="1:13" ht="12.75">
      <c r="A15" s="8">
        <v>4</v>
      </c>
      <c r="B15" s="19" t="s">
        <v>479</v>
      </c>
      <c r="C15" s="97">
        <v>0</v>
      </c>
      <c r="D15" s="97">
        <v>0</v>
      </c>
      <c r="E15" s="97">
        <v>0</v>
      </c>
      <c r="F15" s="97">
        <v>0</v>
      </c>
      <c r="G15" s="97">
        <v>0</v>
      </c>
      <c r="H15" s="147">
        <v>0</v>
      </c>
      <c r="I15" s="147">
        <f t="shared" si="0"/>
        <v>810</v>
      </c>
      <c r="J15" s="98">
        <f>'AT-3'!G12</f>
        <v>810</v>
      </c>
      <c r="K15" s="89"/>
      <c r="L15" s="89"/>
      <c r="M15" s="89"/>
    </row>
    <row r="16" spans="1:13" ht="12.75">
      <c r="A16" s="8">
        <v>5</v>
      </c>
      <c r="B16" s="19" t="s">
        <v>480</v>
      </c>
      <c r="C16" s="97">
        <v>0</v>
      </c>
      <c r="D16" s="97">
        <v>0</v>
      </c>
      <c r="E16" s="97">
        <v>0</v>
      </c>
      <c r="F16" s="97">
        <v>0</v>
      </c>
      <c r="G16" s="97">
        <v>0</v>
      </c>
      <c r="H16" s="147">
        <v>0</v>
      </c>
      <c r="I16" s="147">
        <f t="shared" si="0"/>
        <v>925</v>
      </c>
      <c r="J16" s="98">
        <f>'AT-3'!G13</f>
        <v>925</v>
      </c>
      <c r="K16" s="89"/>
      <c r="L16" s="89"/>
      <c r="M16" s="89"/>
    </row>
    <row r="17" spans="1:13" ht="12.75">
      <c r="A17" s="8">
        <v>6</v>
      </c>
      <c r="B17" s="19" t="s">
        <v>481</v>
      </c>
      <c r="C17" s="97">
        <v>0</v>
      </c>
      <c r="D17" s="97">
        <v>0</v>
      </c>
      <c r="E17" s="97">
        <v>0</v>
      </c>
      <c r="F17" s="97">
        <v>0</v>
      </c>
      <c r="G17" s="97">
        <v>0</v>
      </c>
      <c r="H17" s="147">
        <v>0</v>
      </c>
      <c r="I17" s="147">
        <f t="shared" si="0"/>
        <v>475</v>
      </c>
      <c r="J17" s="98">
        <f>'AT-3'!G14</f>
        <v>475</v>
      </c>
      <c r="K17" s="89"/>
      <c r="L17" s="89"/>
      <c r="M17" s="89"/>
    </row>
    <row r="18" spans="1:13" ht="12.75">
      <c r="A18" s="8">
        <v>7</v>
      </c>
      <c r="B18" s="19" t="s">
        <v>482</v>
      </c>
      <c r="C18" s="97">
        <v>0</v>
      </c>
      <c r="D18" s="97">
        <v>0</v>
      </c>
      <c r="E18" s="97">
        <v>0</v>
      </c>
      <c r="F18" s="97">
        <v>0</v>
      </c>
      <c r="G18" s="97">
        <v>0</v>
      </c>
      <c r="H18" s="147">
        <v>0</v>
      </c>
      <c r="I18" s="147">
        <f t="shared" si="0"/>
        <v>719</v>
      </c>
      <c r="J18" s="98">
        <f>'AT-3'!G15</f>
        <v>719</v>
      </c>
      <c r="K18" s="89"/>
      <c r="L18" s="89"/>
      <c r="M18" s="89"/>
    </row>
    <row r="19" spans="1:13" ht="12.75">
      <c r="A19" s="8">
        <v>8</v>
      </c>
      <c r="B19" s="19" t="s">
        <v>483</v>
      </c>
      <c r="C19" s="97">
        <v>0</v>
      </c>
      <c r="D19" s="97">
        <v>0</v>
      </c>
      <c r="E19" s="97">
        <v>0</v>
      </c>
      <c r="F19" s="97">
        <v>0</v>
      </c>
      <c r="G19" s="97">
        <v>0</v>
      </c>
      <c r="H19" s="147">
        <v>0</v>
      </c>
      <c r="I19" s="147">
        <f t="shared" si="0"/>
        <v>1140</v>
      </c>
      <c r="J19" s="98">
        <f>'AT-3'!G16</f>
        <v>1140</v>
      </c>
      <c r="K19" s="89"/>
      <c r="L19" s="89"/>
      <c r="M19" s="89"/>
    </row>
    <row r="20" spans="1:13" ht="12.75">
      <c r="A20" s="3"/>
      <c r="B20" s="27" t="s">
        <v>484</v>
      </c>
      <c r="C20" s="97">
        <f>SUM(C12:C19)</f>
        <v>1</v>
      </c>
      <c r="D20" s="97">
        <f aca="true" t="shared" si="1" ref="D20:J20">SUM(D12:D19)</f>
        <v>0</v>
      </c>
      <c r="E20" s="97">
        <f t="shared" si="1"/>
        <v>0</v>
      </c>
      <c r="F20" s="97">
        <f t="shared" si="1"/>
        <v>0</v>
      </c>
      <c r="G20" s="97">
        <f t="shared" si="1"/>
        <v>0</v>
      </c>
      <c r="H20" s="97">
        <f t="shared" si="1"/>
        <v>0</v>
      </c>
      <c r="I20" s="97">
        <f t="shared" si="1"/>
        <v>6528</v>
      </c>
      <c r="J20" s="97">
        <f t="shared" si="1"/>
        <v>6529</v>
      </c>
      <c r="K20" s="89"/>
      <c r="L20" s="89"/>
      <c r="M20" s="89"/>
    </row>
    <row r="21" spans="1:13" ht="12.75">
      <c r="A21" s="89"/>
      <c r="B21" s="89"/>
      <c r="C21" s="89"/>
      <c r="D21" s="89"/>
      <c r="E21" s="89"/>
      <c r="F21" s="89"/>
      <c r="G21" s="89"/>
      <c r="H21" s="89"/>
      <c r="I21" s="89"/>
      <c r="J21" s="89" t="s">
        <v>10</v>
      </c>
      <c r="K21" s="89"/>
      <c r="L21" s="89"/>
      <c r="M21" s="89"/>
    </row>
    <row r="22" spans="1:13" ht="12.75">
      <c r="A22" s="89" t="s">
        <v>119</v>
      </c>
      <c r="B22" s="89"/>
      <c r="C22" s="89"/>
      <c r="D22" s="89"/>
      <c r="E22" s="89" t="s">
        <v>10</v>
      </c>
      <c r="F22" s="89"/>
      <c r="G22" s="89"/>
      <c r="H22" s="89"/>
      <c r="I22" s="89" t="s">
        <v>10</v>
      </c>
      <c r="J22" s="89"/>
      <c r="K22" s="89"/>
      <c r="L22" s="89"/>
      <c r="M22" s="89"/>
    </row>
    <row r="23" spans="1:13" ht="12.75">
      <c r="A23" s="89" t="s">
        <v>196</v>
      </c>
      <c r="B23" s="89"/>
      <c r="C23" s="89"/>
      <c r="D23" s="89"/>
      <c r="E23" s="89"/>
      <c r="F23" s="89"/>
      <c r="G23" s="89"/>
      <c r="H23" s="89"/>
      <c r="I23" s="89"/>
      <c r="J23" s="89"/>
      <c r="K23" s="89"/>
      <c r="L23" s="89"/>
      <c r="M23" s="89"/>
    </row>
    <row r="24" ht="12.75">
      <c r="A24" t="s">
        <v>120</v>
      </c>
    </row>
    <row r="25" spans="1:13" ht="12.75">
      <c r="A25" s="892" t="s">
        <v>121</v>
      </c>
      <c r="B25" s="892"/>
      <c r="C25" s="892"/>
      <c r="D25" s="892"/>
      <c r="E25" s="892"/>
      <c r="F25" s="892"/>
      <c r="G25" s="892"/>
      <c r="H25" s="892"/>
      <c r="I25" s="892"/>
      <c r="J25" s="892"/>
      <c r="K25" s="892"/>
      <c r="L25" s="892"/>
      <c r="M25" s="892"/>
    </row>
    <row r="26" spans="1:13" ht="12.75">
      <c r="A26" s="903" t="s">
        <v>122</v>
      </c>
      <c r="B26" s="903"/>
      <c r="C26" s="903"/>
      <c r="D26" s="903"/>
      <c r="E26" s="89"/>
      <c r="F26" s="89"/>
      <c r="G26" s="89"/>
      <c r="H26" s="89"/>
      <c r="I26" s="89"/>
      <c r="J26" s="89"/>
      <c r="K26" s="89"/>
      <c r="L26" s="89"/>
      <c r="M26" s="89"/>
    </row>
    <row r="27" spans="1:13" ht="12.75">
      <c r="A27" s="130" t="s">
        <v>168</v>
      </c>
      <c r="B27" s="130"/>
      <c r="C27" s="130"/>
      <c r="D27" s="130"/>
      <c r="E27" s="89"/>
      <c r="F27" s="89"/>
      <c r="G27" s="89"/>
      <c r="H27" s="89"/>
      <c r="I27" s="89"/>
      <c r="J27" s="89"/>
      <c r="K27" s="89"/>
      <c r="L27" s="89"/>
      <c r="M27" s="89"/>
    </row>
    <row r="28" spans="1:13" ht="12.75">
      <c r="A28" s="130"/>
      <c r="B28" s="130"/>
      <c r="C28" s="130"/>
      <c r="D28" s="130"/>
      <c r="E28" s="89"/>
      <c r="F28" s="89"/>
      <c r="G28" s="89"/>
      <c r="H28" s="89"/>
      <c r="I28" s="89"/>
      <c r="J28" s="89"/>
      <c r="K28" s="89"/>
      <c r="L28" s="89"/>
      <c r="M28" s="89"/>
    </row>
    <row r="29" spans="1:13" ht="15">
      <c r="A29" s="365" t="s">
        <v>517</v>
      </c>
      <c r="B29" s="130"/>
      <c r="C29" s="130"/>
      <c r="D29" s="130"/>
      <c r="E29" s="89"/>
      <c r="F29" s="89"/>
      <c r="G29" s="89"/>
      <c r="H29" s="89"/>
      <c r="I29" s="89"/>
      <c r="J29" s="89"/>
      <c r="K29" s="89"/>
      <c r="L29" s="89"/>
      <c r="M29" s="89"/>
    </row>
    <row r="30" spans="1:13" s="16" customFormat="1" ht="12.75">
      <c r="A30" s="101" t="s">
        <v>11</v>
      </c>
      <c r="B30" s="101"/>
      <c r="C30" s="101"/>
      <c r="D30" s="101"/>
      <c r="E30" s="101"/>
      <c r="F30" s="101"/>
      <c r="G30" s="101"/>
      <c r="H30" s="101"/>
      <c r="I30" s="904"/>
      <c r="J30" s="904"/>
      <c r="K30" s="318"/>
      <c r="L30" s="156"/>
      <c r="M30" s="156"/>
    </row>
    <row r="31" spans="2:13" s="16" customFormat="1" ht="12.75">
      <c r="B31" s="318"/>
      <c r="C31" s="318"/>
      <c r="D31" s="318"/>
      <c r="E31" s="318"/>
      <c r="F31" s="318"/>
      <c r="G31" s="318"/>
      <c r="H31" s="318"/>
      <c r="I31" s="904" t="s">
        <v>819</v>
      </c>
      <c r="J31" s="904"/>
      <c r="K31" s="156"/>
      <c r="L31" s="156"/>
      <c r="M31" s="156"/>
    </row>
    <row r="32" spans="2:13" s="16" customFormat="1" ht="12.75">
      <c r="B32" s="318"/>
      <c r="C32" s="318"/>
      <c r="D32" s="318"/>
      <c r="E32" s="318"/>
      <c r="F32" s="318"/>
      <c r="G32" s="318"/>
      <c r="H32" s="318"/>
      <c r="I32" s="904" t="s">
        <v>488</v>
      </c>
      <c r="J32" s="904"/>
      <c r="K32" s="318"/>
      <c r="L32" s="156"/>
      <c r="M32" s="156"/>
    </row>
    <row r="33" spans="1:13" s="16" customFormat="1" ht="12.75">
      <c r="A33" s="156"/>
      <c r="B33" s="156"/>
      <c r="C33" s="156"/>
      <c r="D33" s="156"/>
      <c r="E33" s="156"/>
      <c r="F33" s="156"/>
      <c r="G33" s="697" t="s">
        <v>80</v>
      </c>
      <c r="H33" s="697"/>
      <c r="I33" s="697"/>
      <c r="J33" s="697"/>
      <c r="K33" s="31"/>
      <c r="L33" s="31"/>
      <c r="M33" s="156"/>
    </row>
    <row r="34" spans="1:13" s="16" customFormat="1" ht="12.75">
      <c r="A34" s="902"/>
      <c r="B34" s="902"/>
      <c r="C34" s="902"/>
      <c r="D34" s="902"/>
      <c r="E34" s="902"/>
      <c r="F34" s="902"/>
      <c r="G34" s="902"/>
      <c r="H34" s="902"/>
      <c r="I34" s="902"/>
      <c r="J34" s="902"/>
      <c r="K34" s="156"/>
      <c r="L34" s="156"/>
      <c r="M34" s="156"/>
    </row>
  </sheetData>
  <sheetProtection/>
  <mergeCells count="18">
    <mergeCell ref="G33:J33"/>
    <mergeCell ref="A34:J34"/>
    <mergeCell ref="A25:D25"/>
    <mergeCell ref="E25:J25"/>
    <mergeCell ref="A26:D26"/>
    <mergeCell ref="I31:J31"/>
    <mergeCell ref="I32:J32"/>
    <mergeCell ref="I30:J30"/>
    <mergeCell ref="D1:E1"/>
    <mergeCell ref="G1:J1"/>
    <mergeCell ref="A2:J2"/>
    <mergeCell ref="A5:J5"/>
    <mergeCell ref="A7:B7"/>
    <mergeCell ref="K25:M25"/>
    <mergeCell ref="A9:A10"/>
    <mergeCell ref="B9:B10"/>
    <mergeCell ref="C9:J9"/>
    <mergeCell ref="C3:I3"/>
  </mergeCells>
  <printOptions horizontalCentered="1"/>
  <pageMargins left="0.7086614173228347" right="0.28" top="0.9" bottom="0" header="0.63" footer="0.31496062992125984"/>
  <pageSetup fitToHeight="1" fitToWidth="1"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pageSetUpPr fitToPage="1"/>
  </sheetPr>
  <dimension ref="A1:Z28"/>
  <sheetViews>
    <sheetView view="pageBreakPreview" zoomScale="90" zoomScaleNormal="85" zoomScaleSheetLayoutView="90" zoomScalePageLayoutView="0" workbookViewId="0" topLeftCell="A1">
      <selection activeCell="D15" sqref="D15:J17"/>
    </sheetView>
  </sheetViews>
  <sheetFormatPr defaultColWidth="9.140625" defaultRowHeight="12.75"/>
  <cols>
    <col min="1" max="1" width="6.140625" style="0" customWidth="1"/>
    <col min="2" max="2" width="14.421875" style="0" customWidth="1"/>
    <col min="3" max="3" width="13.7109375" style="0" customWidth="1"/>
    <col min="4" max="4" width="17.00390625" style="0" customWidth="1"/>
    <col min="5" max="5" width="14.7109375" style="0" customWidth="1"/>
    <col min="6" max="6" width="11.421875" style="0" customWidth="1"/>
    <col min="7" max="7" width="13.140625" style="0" customWidth="1"/>
    <col min="8" max="9" width="17.00390625" style="0" customWidth="1"/>
    <col min="10" max="11" width="12.7109375" style="0" customWidth="1"/>
    <col min="12" max="12" width="17.00390625" style="0" customWidth="1"/>
    <col min="13" max="13" width="16.421875" style="0" customWidth="1"/>
  </cols>
  <sheetData>
    <row r="1" spans="1:16" ht="15">
      <c r="A1" s="89"/>
      <c r="B1" s="89"/>
      <c r="C1" s="89"/>
      <c r="D1" s="89"/>
      <c r="E1" s="89"/>
      <c r="F1" s="89"/>
      <c r="G1" s="89"/>
      <c r="H1" s="89"/>
      <c r="I1" s="89"/>
      <c r="J1" s="89"/>
      <c r="K1" s="89"/>
      <c r="L1" s="744" t="s">
        <v>123</v>
      </c>
      <c r="M1" s="744"/>
      <c r="N1" s="102"/>
      <c r="O1" s="89"/>
      <c r="P1" s="89"/>
    </row>
    <row r="2" spans="1:16" ht="15.75">
      <c r="A2" s="732" t="s">
        <v>0</v>
      </c>
      <c r="B2" s="732"/>
      <c r="C2" s="732"/>
      <c r="D2" s="732"/>
      <c r="E2" s="732"/>
      <c r="F2" s="732"/>
      <c r="G2" s="732"/>
      <c r="H2" s="732"/>
      <c r="I2" s="732"/>
      <c r="J2" s="732"/>
      <c r="K2" s="732"/>
      <c r="L2" s="732"/>
      <c r="M2" s="732"/>
      <c r="N2" s="89"/>
      <c r="O2" s="89"/>
      <c r="P2" s="89"/>
    </row>
    <row r="3" spans="1:16" ht="20.25">
      <c r="A3" s="733" t="s">
        <v>854</v>
      </c>
      <c r="B3" s="733"/>
      <c r="C3" s="733"/>
      <c r="D3" s="733"/>
      <c r="E3" s="733"/>
      <c r="F3" s="733"/>
      <c r="G3" s="733"/>
      <c r="H3" s="733"/>
      <c r="I3" s="733"/>
      <c r="J3" s="733"/>
      <c r="K3" s="733"/>
      <c r="L3" s="733"/>
      <c r="M3" s="733"/>
      <c r="N3" s="89"/>
      <c r="O3" s="89"/>
      <c r="P3" s="89"/>
    </row>
    <row r="4" spans="1:16" ht="12.75">
      <c r="A4" s="89"/>
      <c r="B4" s="89"/>
      <c r="C4" s="89"/>
      <c r="D4" s="89"/>
      <c r="E4" s="89"/>
      <c r="F4" s="89"/>
      <c r="G4" s="89"/>
      <c r="H4" s="89"/>
      <c r="I4" s="89"/>
      <c r="J4" s="89"/>
      <c r="K4" s="89"/>
      <c r="L4" s="89"/>
      <c r="M4" s="89"/>
      <c r="N4" s="89"/>
      <c r="O4" s="89"/>
      <c r="P4" s="89"/>
    </row>
    <row r="5" spans="1:16" ht="15.75">
      <c r="A5" s="734" t="s">
        <v>640</v>
      </c>
      <c r="B5" s="734"/>
      <c r="C5" s="734"/>
      <c r="D5" s="734"/>
      <c r="E5" s="734"/>
      <c r="F5" s="734"/>
      <c r="G5" s="734"/>
      <c r="H5" s="734"/>
      <c r="I5" s="734"/>
      <c r="J5" s="734"/>
      <c r="K5" s="734"/>
      <c r="L5" s="734"/>
      <c r="M5" s="734"/>
      <c r="N5" s="89"/>
      <c r="O5" s="89"/>
      <c r="P5" s="89"/>
    </row>
    <row r="6" spans="1:16" ht="12.75">
      <c r="A6" s="89"/>
      <c r="B6" s="89"/>
      <c r="C6" s="89"/>
      <c r="D6" s="89"/>
      <c r="E6" s="89"/>
      <c r="F6" s="89"/>
      <c r="G6" s="89"/>
      <c r="H6" s="89"/>
      <c r="I6" s="89"/>
      <c r="J6" s="89"/>
      <c r="K6" s="89"/>
      <c r="L6" s="89"/>
      <c r="M6" s="89"/>
      <c r="N6" s="89"/>
      <c r="O6" s="89"/>
      <c r="P6" s="89"/>
    </row>
    <row r="7" spans="1:16" ht="12.75">
      <c r="A7" s="699" t="s">
        <v>475</v>
      </c>
      <c r="B7" s="699"/>
      <c r="C7" s="89"/>
      <c r="D7" s="89"/>
      <c r="E7" s="89"/>
      <c r="F7" s="89"/>
      <c r="G7" s="89"/>
      <c r="H7" s="89"/>
      <c r="I7" s="89"/>
      <c r="J7" s="89"/>
      <c r="K7" s="89"/>
      <c r="L7" s="89"/>
      <c r="M7" s="89"/>
      <c r="N7" s="89"/>
      <c r="O7" s="89"/>
      <c r="P7" s="89"/>
    </row>
    <row r="8" spans="1:16" ht="18">
      <c r="A8" s="92"/>
      <c r="B8" s="92"/>
      <c r="C8" s="89"/>
      <c r="D8" s="89"/>
      <c r="E8" s="89"/>
      <c r="F8" s="89"/>
      <c r="G8" s="89"/>
      <c r="H8" s="89"/>
      <c r="I8" s="89"/>
      <c r="J8" s="89"/>
      <c r="K8" s="89"/>
      <c r="L8" s="89"/>
      <c r="M8" s="89"/>
      <c r="N8" s="89"/>
      <c r="O8" s="89"/>
      <c r="P8" s="89"/>
    </row>
    <row r="9" spans="1:26" s="260" customFormat="1" ht="19.5" customHeight="1">
      <c r="A9" s="890" t="s">
        <v>2</v>
      </c>
      <c r="B9" s="890" t="s">
        <v>3</v>
      </c>
      <c r="C9" s="915" t="s">
        <v>117</v>
      </c>
      <c r="D9" s="915"/>
      <c r="E9" s="916"/>
      <c r="F9" s="905" t="s">
        <v>118</v>
      </c>
      <c r="G9" s="905"/>
      <c r="H9" s="905"/>
      <c r="I9" s="889"/>
      <c r="J9" s="890" t="s">
        <v>194</v>
      </c>
      <c r="K9" s="890"/>
      <c r="L9" s="890"/>
      <c r="M9" s="890"/>
      <c r="N9" s="310"/>
      <c r="O9" s="310"/>
      <c r="P9" s="310"/>
      <c r="Y9" s="268"/>
      <c r="Z9" s="269"/>
    </row>
    <row r="10" spans="1:16" s="260" customFormat="1" ht="36.75" customHeight="1">
      <c r="A10" s="890"/>
      <c r="B10" s="890"/>
      <c r="C10" s="296" t="s">
        <v>392</v>
      </c>
      <c r="D10" s="295" t="s">
        <v>390</v>
      </c>
      <c r="E10" s="296" t="s">
        <v>197</v>
      </c>
      <c r="F10" s="296" t="s">
        <v>720</v>
      </c>
      <c r="G10" s="295" t="s">
        <v>389</v>
      </c>
      <c r="H10" s="295" t="s">
        <v>390</v>
      </c>
      <c r="I10" s="296" t="s">
        <v>197</v>
      </c>
      <c r="J10" s="257" t="s">
        <v>721</v>
      </c>
      <c r="K10" s="295" t="s">
        <v>389</v>
      </c>
      <c r="L10" s="257" t="s">
        <v>390</v>
      </c>
      <c r="M10" s="257" t="s">
        <v>197</v>
      </c>
      <c r="N10" s="314"/>
      <c r="O10" s="314"/>
      <c r="P10" s="314"/>
    </row>
    <row r="11" spans="1:16" s="15" customFormat="1" ht="12.75">
      <c r="A11" s="94">
        <v>1</v>
      </c>
      <c r="B11" s="94">
        <v>2</v>
      </c>
      <c r="C11" s="94">
        <v>3</v>
      </c>
      <c r="D11" s="94">
        <v>4</v>
      </c>
      <c r="E11" s="94">
        <v>5</v>
      </c>
      <c r="F11" s="94">
        <v>6</v>
      </c>
      <c r="G11" s="94">
        <v>7</v>
      </c>
      <c r="H11" s="94">
        <v>8</v>
      </c>
      <c r="I11" s="94">
        <v>9</v>
      </c>
      <c r="J11" s="94">
        <v>10</v>
      </c>
      <c r="K11" s="94">
        <v>11</v>
      </c>
      <c r="L11" s="94">
        <v>12</v>
      </c>
      <c r="M11" s="94">
        <v>13</v>
      </c>
      <c r="N11" s="101"/>
      <c r="O11" s="101"/>
      <c r="P11" s="101"/>
    </row>
    <row r="12" spans="1:16" ht="12.75">
      <c r="A12" s="8">
        <v>1</v>
      </c>
      <c r="B12" s="19" t="s">
        <v>476</v>
      </c>
      <c r="C12" s="97"/>
      <c r="D12" s="97"/>
      <c r="E12" s="97"/>
      <c r="F12" s="97"/>
      <c r="G12" s="97"/>
      <c r="H12" s="97"/>
      <c r="I12" s="97"/>
      <c r="J12" s="97"/>
      <c r="K12" s="97"/>
      <c r="L12" s="97"/>
      <c r="M12" s="97"/>
      <c r="N12" s="89"/>
      <c r="O12" s="89"/>
      <c r="P12" s="89"/>
    </row>
    <row r="13" spans="1:16" ht="12.75">
      <c r="A13" s="8">
        <v>2</v>
      </c>
      <c r="B13" s="19" t="s">
        <v>477</v>
      </c>
      <c r="C13" s="97"/>
      <c r="D13" s="97"/>
      <c r="E13" s="97"/>
      <c r="F13" s="97"/>
      <c r="G13" s="97"/>
      <c r="H13" s="97"/>
      <c r="I13" s="97"/>
      <c r="J13" s="97"/>
      <c r="K13" s="97"/>
      <c r="L13" s="97"/>
      <c r="M13" s="97"/>
      <c r="N13" s="89"/>
      <c r="O13" s="89"/>
      <c r="P13" s="89"/>
    </row>
    <row r="14" spans="1:16" ht="12.75">
      <c r="A14" s="8">
        <v>3</v>
      </c>
      <c r="B14" s="19" t="s">
        <v>478</v>
      </c>
      <c r="C14" s="97"/>
      <c r="D14" s="97"/>
      <c r="E14" s="97"/>
      <c r="F14" s="97"/>
      <c r="G14" s="97"/>
      <c r="H14" s="97"/>
      <c r="I14" s="97"/>
      <c r="J14" s="97"/>
      <c r="K14" s="97"/>
      <c r="L14" s="97"/>
      <c r="M14" s="97"/>
      <c r="N14" s="89"/>
      <c r="O14" s="89"/>
      <c r="P14" s="89"/>
    </row>
    <row r="15" spans="1:16" ht="12.75">
      <c r="A15" s="8">
        <v>4</v>
      </c>
      <c r="B15" s="19" t="s">
        <v>479</v>
      </c>
      <c r="C15" s="97"/>
      <c r="D15" s="906" t="s">
        <v>512</v>
      </c>
      <c r="E15" s="907"/>
      <c r="F15" s="907"/>
      <c r="G15" s="907"/>
      <c r="H15" s="907"/>
      <c r="I15" s="907"/>
      <c r="J15" s="908"/>
      <c r="K15" s="472"/>
      <c r="L15" s="97"/>
      <c r="M15" s="97"/>
      <c r="N15" s="89"/>
      <c r="O15" s="89"/>
      <c r="P15" s="89"/>
    </row>
    <row r="16" spans="1:16" ht="12.75">
      <c r="A16" s="8">
        <v>5</v>
      </c>
      <c r="B16" s="19" t="s">
        <v>480</v>
      </c>
      <c r="C16" s="97"/>
      <c r="D16" s="909"/>
      <c r="E16" s="910"/>
      <c r="F16" s="910"/>
      <c r="G16" s="910"/>
      <c r="H16" s="910"/>
      <c r="I16" s="910"/>
      <c r="J16" s="911"/>
      <c r="K16" s="473"/>
      <c r="L16" s="97"/>
      <c r="M16" s="97"/>
      <c r="N16" s="89"/>
      <c r="O16" s="89"/>
      <c r="P16" s="89"/>
    </row>
    <row r="17" spans="1:16" ht="12.75">
      <c r="A17" s="8">
        <v>6</v>
      </c>
      <c r="B17" s="19" t="s">
        <v>481</v>
      </c>
      <c r="C17" s="97"/>
      <c r="D17" s="912"/>
      <c r="E17" s="913"/>
      <c r="F17" s="913"/>
      <c r="G17" s="913"/>
      <c r="H17" s="913"/>
      <c r="I17" s="913"/>
      <c r="J17" s="914"/>
      <c r="K17" s="474"/>
      <c r="L17" s="97"/>
      <c r="M17" s="97"/>
      <c r="N17" s="89"/>
      <c r="O17" s="89"/>
      <c r="P17" s="89"/>
    </row>
    <row r="18" spans="1:16" ht="12.75">
      <c r="A18" s="8">
        <v>7</v>
      </c>
      <c r="B18" s="19" t="s">
        <v>482</v>
      </c>
      <c r="C18" s="97"/>
      <c r="D18" s="97"/>
      <c r="E18" s="97"/>
      <c r="F18" s="97"/>
      <c r="G18" s="97"/>
      <c r="H18" s="97"/>
      <c r="I18" s="97"/>
      <c r="J18" s="97"/>
      <c r="K18" s="97"/>
      <c r="L18" s="97"/>
      <c r="M18" s="97"/>
      <c r="N18" s="89"/>
      <c r="O18" s="89"/>
      <c r="P18" s="89"/>
    </row>
    <row r="19" spans="1:16" ht="12.75">
      <c r="A19" s="8">
        <v>8</v>
      </c>
      <c r="B19" s="19" t="s">
        <v>483</v>
      </c>
      <c r="C19" s="97"/>
      <c r="D19" s="97"/>
      <c r="E19" s="97"/>
      <c r="F19" s="97"/>
      <c r="G19" s="97"/>
      <c r="H19" s="97"/>
      <c r="I19" s="97"/>
      <c r="J19" s="97"/>
      <c r="K19" s="97"/>
      <c r="L19" s="97"/>
      <c r="M19" s="97"/>
      <c r="N19" s="89"/>
      <c r="O19" s="89"/>
      <c r="P19" s="89"/>
    </row>
    <row r="20" spans="1:16" ht="12.75">
      <c r="A20" s="3"/>
      <c r="B20" s="27" t="s">
        <v>484</v>
      </c>
      <c r="C20" s="97"/>
      <c r="D20" s="97"/>
      <c r="E20" s="97"/>
      <c r="F20" s="97"/>
      <c r="G20" s="97"/>
      <c r="H20" s="97"/>
      <c r="I20" s="97"/>
      <c r="J20" s="97"/>
      <c r="K20" s="97"/>
      <c r="L20" s="97"/>
      <c r="M20" s="97"/>
      <c r="N20" s="89"/>
      <c r="O20" s="89"/>
      <c r="P20" s="89"/>
    </row>
    <row r="21" spans="1:16" ht="12.75">
      <c r="A21" s="89"/>
      <c r="B21" s="89"/>
      <c r="C21" s="89"/>
      <c r="D21" s="89"/>
      <c r="E21" s="89"/>
      <c r="F21" s="89"/>
      <c r="G21" s="89"/>
      <c r="H21" s="89"/>
      <c r="I21" s="89"/>
      <c r="J21" s="89"/>
      <c r="K21" s="89"/>
      <c r="L21" s="89"/>
      <c r="M21" s="89"/>
      <c r="N21" s="89"/>
      <c r="O21" s="89"/>
      <c r="P21" s="89"/>
    </row>
    <row r="23" spans="1:16" ht="12.75">
      <c r="A23" s="892"/>
      <c r="B23" s="892"/>
      <c r="C23" s="892"/>
      <c r="D23" s="892"/>
      <c r="E23" s="892"/>
      <c r="F23" s="892"/>
      <c r="G23" s="892"/>
      <c r="H23" s="892"/>
      <c r="I23" s="892"/>
      <c r="J23" s="892"/>
      <c r="K23" s="892"/>
      <c r="L23" s="892"/>
      <c r="M23" s="105"/>
      <c r="N23" s="892"/>
      <c r="O23" s="892"/>
      <c r="P23" s="892"/>
    </row>
    <row r="24" spans="1:16" ht="12.75">
      <c r="A24" s="89"/>
      <c r="B24" s="89"/>
      <c r="C24" s="89"/>
      <c r="D24" s="89"/>
      <c r="E24" s="89"/>
      <c r="F24" s="89"/>
      <c r="G24" s="89"/>
      <c r="H24" s="89"/>
      <c r="I24" s="89"/>
      <c r="J24" s="89"/>
      <c r="K24" s="89"/>
      <c r="L24" s="89"/>
      <c r="M24" s="89"/>
      <c r="N24" s="89"/>
      <c r="O24" s="89"/>
      <c r="P24" s="89"/>
    </row>
    <row r="25" spans="1:16" ht="15.75">
      <c r="A25" s="100" t="s">
        <v>11</v>
      </c>
      <c r="B25" s="100"/>
      <c r="C25" s="100"/>
      <c r="D25" s="100"/>
      <c r="E25" s="100"/>
      <c r="F25" s="100"/>
      <c r="G25" s="100"/>
      <c r="H25" s="100"/>
      <c r="I25" s="100"/>
      <c r="J25" s="887"/>
      <c r="K25" s="887"/>
      <c r="L25" s="887"/>
      <c r="M25" s="887"/>
      <c r="N25" s="131"/>
      <c r="O25" s="89"/>
      <c r="P25" s="89"/>
    </row>
    <row r="26" spans="2:16" ht="15.75" customHeight="1">
      <c r="B26" s="131"/>
      <c r="C26" s="131"/>
      <c r="D26" s="131"/>
      <c r="E26" s="131"/>
      <c r="F26" s="131"/>
      <c r="G26" s="131"/>
      <c r="H26" s="131"/>
      <c r="I26" s="131"/>
      <c r="J26" s="887" t="s">
        <v>819</v>
      </c>
      <c r="K26" s="887"/>
      <c r="L26" s="887"/>
      <c r="M26" s="887"/>
      <c r="N26" s="89"/>
      <c r="O26" s="89"/>
      <c r="P26" s="89"/>
    </row>
    <row r="27" spans="2:16" ht="15" customHeight="1">
      <c r="B27" s="131"/>
      <c r="C27" s="131"/>
      <c r="D27" s="131"/>
      <c r="E27" s="131"/>
      <c r="F27" s="131"/>
      <c r="G27" s="131"/>
      <c r="H27" s="131"/>
      <c r="I27" s="131"/>
      <c r="J27" s="887" t="s">
        <v>488</v>
      </c>
      <c r="K27" s="887"/>
      <c r="L27" s="887"/>
      <c r="M27" s="887"/>
      <c r="N27" s="131"/>
      <c r="O27" s="89"/>
      <c r="P27" s="89"/>
    </row>
    <row r="28" spans="1:16" ht="12.75">
      <c r="A28" s="89"/>
      <c r="B28" s="89"/>
      <c r="C28" s="89"/>
      <c r="L28" s="31" t="s">
        <v>80</v>
      </c>
      <c r="M28" s="31"/>
      <c r="N28" s="31"/>
      <c r="O28" s="31"/>
      <c r="P28" s="31"/>
    </row>
  </sheetData>
  <sheetProtection/>
  <mergeCells count="16">
    <mergeCell ref="L1:M1"/>
    <mergeCell ref="A2:M2"/>
    <mergeCell ref="A3:M3"/>
    <mergeCell ref="A5:M5"/>
    <mergeCell ref="A7:B7"/>
    <mergeCell ref="A9:A10"/>
    <mergeCell ref="B9:B10"/>
    <mergeCell ref="C9:E9"/>
    <mergeCell ref="J9:M9"/>
    <mergeCell ref="A23:L23"/>
    <mergeCell ref="F9:I9"/>
    <mergeCell ref="N23:P23"/>
    <mergeCell ref="J26:M26"/>
    <mergeCell ref="J27:M27"/>
    <mergeCell ref="J25:M25"/>
    <mergeCell ref="D15:J17"/>
  </mergeCells>
  <printOptions horizontalCentered="1"/>
  <pageMargins left="0.52" right="0.27" top="1.05" bottom="0" header="0.69" footer="0.31496062992125984"/>
  <pageSetup fitToHeight="1" fitToWidth="1" horizontalDpi="600" verticalDpi="600" orientation="landscape" paperSize="9" scale="77" r:id="rId1"/>
</worksheet>
</file>

<file path=xl/worksheets/sheet48.xml><?xml version="1.0" encoding="utf-8"?>
<worksheet xmlns="http://schemas.openxmlformats.org/spreadsheetml/2006/main" xmlns:r="http://schemas.openxmlformats.org/officeDocument/2006/relationships">
  <sheetPr>
    <pageSetUpPr fitToPage="1"/>
  </sheetPr>
  <dimension ref="A1:L26"/>
  <sheetViews>
    <sheetView view="pageBreakPreview" zoomScale="90" zoomScaleSheetLayoutView="90" zoomScalePageLayoutView="0" workbookViewId="0" topLeftCell="A1">
      <selection activeCell="F13" sqref="F13:I15"/>
    </sheetView>
  </sheetViews>
  <sheetFormatPr defaultColWidth="9.140625" defaultRowHeight="12.75"/>
  <cols>
    <col min="1" max="1" width="5.8515625" style="0" customWidth="1"/>
    <col min="2" max="2" width="14.8515625" style="0" customWidth="1"/>
    <col min="3" max="3" width="11.140625" style="0" customWidth="1"/>
    <col min="4" max="4" width="10.57421875" style="0" customWidth="1"/>
    <col min="5" max="5" width="10.140625" style="0" customWidth="1"/>
    <col min="6" max="6" width="13.421875" style="0" customWidth="1"/>
    <col min="7" max="7" width="17.57421875" style="0" customWidth="1"/>
    <col min="8" max="8" width="12.421875" style="0" customWidth="1"/>
    <col min="9" max="9" width="15.28125" style="0" customWidth="1"/>
    <col min="10" max="10" width="17.140625" style="0" customWidth="1"/>
    <col min="11" max="11" width="16.57421875" style="0" customWidth="1"/>
    <col min="12" max="12" width="9.140625" style="0" hidden="1" customWidth="1"/>
  </cols>
  <sheetData>
    <row r="1" spans="10:11" ht="18">
      <c r="J1" s="393"/>
      <c r="K1" s="393" t="s">
        <v>722</v>
      </c>
    </row>
    <row r="2" spans="1:11" ht="18">
      <c r="A2" s="739" t="s">
        <v>0</v>
      </c>
      <c r="B2" s="739"/>
      <c r="C2" s="739"/>
      <c r="D2" s="739"/>
      <c r="E2" s="739"/>
      <c r="F2" s="739"/>
      <c r="G2" s="739"/>
      <c r="H2" s="739"/>
      <c r="I2" s="739"/>
      <c r="J2" s="739"/>
      <c r="K2" s="739"/>
    </row>
    <row r="3" spans="1:11" ht="21">
      <c r="A3" s="740" t="s">
        <v>854</v>
      </c>
      <c r="B3" s="740"/>
      <c r="C3" s="740"/>
      <c r="D3" s="740"/>
      <c r="E3" s="740"/>
      <c r="F3" s="740"/>
      <c r="G3" s="740"/>
      <c r="H3" s="740"/>
      <c r="I3" s="740"/>
      <c r="J3" s="740"/>
      <c r="K3" s="740"/>
    </row>
    <row r="4" spans="1:11" ht="9" customHeight="1">
      <c r="A4" s="183"/>
      <c r="B4" s="183"/>
      <c r="C4" s="183"/>
      <c r="D4" s="183"/>
      <c r="E4" s="183"/>
      <c r="F4" s="183"/>
      <c r="G4" s="183"/>
      <c r="H4" s="183"/>
      <c r="I4" s="183"/>
      <c r="J4" s="183"/>
      <c r="K4" s="183"/>
    </row>
    <row r="5" spans="1:11" ht="15">
      <c r="A5" s="926" t="s">
        <v>723</v>
      </c>
      <c r="B5" s="926"/>
      <c r="C5" s="926"/>
      <c r="D5" s="926"/>
      <c r="E5" s="926"/>
      <c r="F5" s="926"/>
      <c r="G5" s="926"/>
      <c r="H5" s="926"/>
      <c r="I5" s="926"/>
      <c r="J5" s="926"/>
      <c r="K5" s="926"/>
    </row>
    <row r="6" spans="1:12" ht="15">
      <c r="A6" s="184" t="s">
        <v>515</v>
      </c>
      <c r="B6" s="184"/>
      <c r="C6" s="184"/>
      <c r="D6" s="184"/>
      <c r="E6" s="184"/>
      <c r="F6" s="184"/>
      <c r="G6" s="184"/>
      <c r="H6" s="184"/>
      <c r="I6" s="183"/>
      <c r="J6" s="828" t="s">
        <v>856</v>
      </c>
      <c r="K6" s="828"/>
      <c r="L6" s="828"/>
    </row>
    <row r="7" spans="1:12" ht="15">
      <c r="A7" s="184"/>
      <c r="B7" s="184"/>
      <c r="C7" s="184"/>
      <c r="D7" s="184"/>
      <c r="E7" s="184"/>
      <c r="F7" s="184"/>
      <c r="G7" s="184"/>
      <c r="H7" s="184"/>
      <c r="I7" s="183"/>
      <c r="J7" s="334"/>
      <c r="K7" s="334"/>
      <c r="L7" s="362"/>
    </row>
    <row r="8" spans="1:11" s="260" customFormat="1" ht="32.25" customHeight="1">
      <c r="A8" s="848" t="s">
        <v>2</v>
      </c>
      <c r="B8" s="848" t="s">
        <v>3</v>
      </c>
      <c r="C8" s="848" t="s">
        <v>300</v>
      </c>
      <c r="D8" s="848" t="s">
        <v>301</v>
      </c>
      <c r="E8" s="848"/>
      <c r="F8" s="848"/>
      <c r="G8" s="848"/>
      <c r="H8" s="848"/>
      <c r="I8" s="849" t="s">
        <v>302</v>
      </c>
      <c r="J8" s="850"/>
      <c r="K8" s="851"/>
    </row>
    <row r="9" spans="1:11" s="260" customFormat="1" ht="82.5" customHeight="1">
      <c r="A9" s="848"/>
      <c r="B9" s="848"/>
      <c r="C9" s="848"/>
      <c r="D9" s="357" t="s">
        <v>303</v>
      </c>
      <c r="E9" s="357" t="s">
        <v>197</v>
      </c>
      <c r="F9" s="357" t="s">
        <v>453</v>
      </c>
      <c r="G9" s="357" t="s">
        <v>304</v>
      </c>
      <c r="H9" s="357" t="s">
        <v>425</v>
      </c>
      <c r="I9" s="357" t="s">
        <v>305</v>
      </c>
      <c r="J9" s="357" t="s">
        <v>306</v>
      </c>
      <c r="K9" s="357" t="s">
        <v>307</v>
      </c>
    </row>
    <row r="10" spans="1:11" ht="15">
      <c r="A10" s="185" t="s">
        <v>263</v>
      </c>
      <c r="B10" s="185" t="s">
        <v>264</v>
      </c>
      <c r="C10" s="185" t="s">
        <v>265</v>
      </c>
      <c r="D10" s="185" t="s">
        <v>266</v>
      </c>
      <c r="E10" s="185" t="s">
        <v>267</v>
      </c>
      <c r="F10" s="185" t="s">
        <v>268</v>
      </c>
      <c r="G10" s="185" t="s">
        <v>269</v>
      </c>
      <c r="H10" s="185" t="s">
        <v>270</v>
      </c>
      <c r="I10" s="185" t="s">
        <v>289</v>
      </c>
      <c r="J10" s="185" t="s">
        <v>290</v>
      </c>
      <c r="K10" s="185" t="s">
        <v>291</v>
      </c>
    </row>
    <row r="11" spans="1:11" ht="12.75">
      <c r="A11" s="8">
        <v>1</v>
      </c>
      <c r="B11" s="19" t="s">
        <v>476</v>
      </c>
      <c r="C11" s="9"/>
      <c r="D11" s="9"/>
      <c r="E11" s="9"/>
      <c r="F11" s="9"/>
      <c r="G11" s="9"/>
      <c r="H11" s="9"/>
      <c r="I11" s="9"/>
      <c r="J11" s="9"/>
      <c r="K11" s="9"/>
    </row>
    <row r="12" spans="1:11" ht="12.75">
      <c r="A12" s="8">
        <v>2</v>
      </c>
      <c r="B12" s="19" t="s">
        <v>477</v>
      </c>
      <c r="C12" s="9"/>
      <c r="D12" s="9"/>
      <c r="E12" s="9"/>
      <c r="F12" s="9"/>
      <c r="G12" s="9"/>
      <c r="H12" s="9"/>
      <c r="I12" s="9"/>
      <c r="J12" s="9"/>
      <c r="K12" s="9"/>
    </row>
    <row r="13" spans="1:11" ht="12.75">
      <c r="A13" s="8">
        <v>3</v>
      </c>
      <c r="B13" s="19" t="s">
        <v>478</v>
      </c>
      <c r="C13" s="9"/>
      <c r="D13" s="9"/>
      <c r="E13" s="9"/>
      <c r="F13" s="917" t="s">
        <v>512</v>
      </c>
      <c r="G13" s="918"/>
      <c r="H13" s="918"/>
      <c r="I13" s="919"/>
      <c r="J13" s="9"/>
      <c r="K13" s="9"/>
    </row>
    <row r="14" spans="1:11" ht="12.75">
      <c r="A14" s="8">
        <v>4</v>
      </c>
      <c r="B14" s="19" t="s">
        <v>479</v>
      </c>
      <c r="C14" s="9"/>
      <c r="D14" s="9"/>
      <c r="E14" s="9"/>
      <c r="F14" s="920"/>
      <c r="G14" s="921"/>
      <c r="H14" s="921"/>
      <c r="I14" s="922"/>
      <c r="J14" s="9"/>
      <c r="K14" s="9"/>
    </row>
    <row r="15" spans="1:11" ht="12.75">
      <c r="A15" s="8">
        <v>5</v>
      </c>
      <c r="B15" s="19" t="s">
        <v>480</v>
      </c>
      <c r="C15" s="9"/>
      <c r="D15" s="9"/>
      <c r="E15" s="9"/>
      <c r="F15" s="923"/>
      <c r="G15" s="924"/>
      <c r="H15" s="924"/>
      <c r="I15" s="925"/>
      <c r="J15" s="9"/>
      <c r="K15" s="9"/>
    </row>
    <row r="16" spans="1:11" ht="12.75">
      <c r="A16" s="8">
        <v>6</v>
      </c>
      <c r="B16" s="19" t="s">
        <v>481</v>
      </c>
      <c r="C16" s="9"/>
      <c r="D16" s="9"/>
      <c r="E16" s="9"/>
      <c r="F16" s="9"/>
      <c r="G16" s="9"/>
      <c r="H16" s="9"/>
      <c r="I16" s="9"/>
      <c r="J16" s="9"/>
      <c r="K16" s="9"/>
    </row>
    <row r="17" spans="1:11" ht="12.75">
      <c r="A17" s="8">
        <v>7</v>
      </c>
      <c r="B17" s="19" t="s">
        <v>482</v>
      </c>
      <c r="C17" s="9"/>
      <c r="D17" s="9"/>
      <c r="E17" s="9"/>
      <c r="F17" s="9"/>
      <c r="G17" s="9"/>
      <c r="H17" s="9"/>
      <c r="I17" s="9"/>
      <c r="J17" s="9"/>
      <c r="K17" s="9"/>
    </row>
    <row r="18" spans="1:11" ht="12.75">
      <c r="A18" s="8">
        <v>8</v>
      </c>
      <c r="B18" s="19" t="s">
        <v>483</v>
      </c>
      <c r="C18" s="9"/>
      <c r="D18" s="9"/>
      <c r="E18" s="9"/>
      <c r="F18" s="9"/>
      <c r="G18" s="9"/>
      <c r="H18" s="9"/>
      <c r="I18" s="9"/>
      <c r="J18" s="9"/>
      <c r="K18" s="9"/>
    </row>
    <row r="19" spans="1:11" ht="12.75">
      <c r="A19" s="3"/>
      <c r="B19" s="27" t="s">
        <v>484</v>
      </c>
      <c r="C19" s="9"/>
      <c r="D19" s="9"/>
      <c r="E19" s="9"/>
      <c r="F19" s="9"/>
      <c r="G19" s="9"/>
      <c r="H19" s="9"/>
      <c r="I19" s="9"/>
      <c r="J19" s="9"/>
      <c r="K19" s="9"/>
    </row>
    <row r="21" ht="12.75">
      <c r="A21" s="15" t="s">
        <v>454</v>
      </c>
    </row>
    <row r="23" spans="1:11" ht="12.75">
      <c r="A23" s="188"/>
      <c r="B23" s="188"/>
      <c r="C23" s="188"/>
      <c r="D23" s="188"/>
      <c r="I23" s="743"/>
      <c r="J23" s="743"/>
      <c r="K23" s="743"/>
    </row>
    <row r="24" spans="1:12" ht="15" customHeight="1">
      <c r="A24" s="188"/>
      <c r="B24" s="188"/>
      <c r="C24" s="188"/>
      <c r="D24" s="188"/>
      <c r="I24" s="743" t="s">
        <v>819</v>
      </c>
      <c r="J24" s="743"/>
      <c r="K24" s="743"/>
      <c r="L24" s="201"/>
    </row>
    <row r="25" spans="1:12" ht="15" customHeight="1">
      <c r="A25" s="188"/>
      <c r="B25" s="188"/>
      <c r="C25" s="188"/>
      <c r="D25" s="188"/>
      <c r="I25" s="743" t="s">
        <v>487</v>
      </c>
      <c r="J25" s="743"/>
      <c r="K25" s="743"/>
      <c r="L25" s="201"/>
    </row>
    <row r="26" spans="1:11" ht="12.75">
      <c r="A26" s="188" t="s">
        <v>11</v>
      </c>
      <c r="C26" s="188"/>
      <c r="D26" s="188"/>
      <c r="I26" s="738" t="s">
        <v>551</v>
      </c>
      <c r="J26" s="738"/>
      <c r="K26" s="192"/>
    </row>
  </sheetData>
  <sheetProtection/>
  <mergeCells count="14">
    <mergeCell ref="I26:J26"/>
    <mergeCell ref="A3:K3"/>
    <mergeCell ref="A5:K5"/>
    <mergeCell ref="J6:L6"/>
    <mergeCell ref="A8:A9"/>
    <mergeCell ref="B8:B9"/>
    <mergeCell ref="C8:C9"/>
    <mergeCell ref="D8:H8"/>
    <mergeCell ref="I8:K8"/>
    <mergeCell ref="I23:K23"/>
    <mergeCell ref="I24:K24"/>
    <mergeCell ref="A2:K2"/>
    <mergeCell ref="I25:K25"/>
    <mergeCell ref="F13:I15"/>
  </mergeCells>
  <printOptions horizontalCentered="1"/>
  <pageMargins left="0.7086614173228347" right="0.3" top="1.09" bottom="0" header="0.31496062992125984" footer="0.31496062992125984"/>
  <pageSetup fitToHeight="1" fitToWidth="1" horizontalDpi="600" verticalDpi="600" orientation="landscape" paperSize="9" scale="95" r:id="rId1"/>
</worksheet>
</file>

<file path=xl/worksheets/sheet49.xml><?xml version="1.0" encoding="utf-8"?>
<worksheet xmlns="http://schemas.openxmlformats.org/spreadsheetml/2006/main" xmlns:r="http://schemas.openxmlformats.org/officeDocument/2006/relationships">
  <sheetPr>
    <pageSetUpPr fitToPage="1"/>
  </sheetPr>
  <dimension ref="A1:O24"/>
  <sheetViews>
    <sheetView view="pageBreakPreview" zoomScaleSheetLayoutView="100" zoomScalePageLayoutView="0" workbookViewId="0" topLeftCell="C1">
      <selection activeCell="Q23" sqref="Q23"/>
    </sheetView>
  </sheetViews>
  <sheetFormatPr defaultColWidth="9.140625" defaultRowHeight="12.75"/>
  <cols>
    <col min="1" max="1" width="5.57421875" style="0" customWidth="1"/>
    <col min="2" max="2" width="10.421875" style="0" customWidth="1"/>
    <col min="3" max="3" width="11.8515625" style="0" customWidth="1"/>
    <col min="5" max="6" width="10.8515625" style="0" customWidth="1"/>
    <col min="7" max="7" width="14.140625" style="0" customWidth="1"/>
    <col min="8" max="8" width="11.57421875" style="0" customWidth="1"/>
    <col min="9" max="12" width="10.421875" style="0" customWidth="1"/>
    <col min="13" max="13" width="11.00390625" style="0" customWidth="1"/>
    <col min="14" max="14" width="10.00390625" style="0" customWidth="1"/>
    <col min="15" max="15" width="11.8515625" style="0" customWidth="1"/>
  </cols>
  <sheetData>
    <row r="1" spans="1:15" ht="18">
      <c r="A1" s="739" t="s">
        <v>553</v>
      </c>
      <c r="B1" s="739"/>
      <c r="C1" s="739"/>
      <c r="D1" s="739"/>
      <c r="E1" s="739"/>
      <c r="F1" s="739"/>
      <c r="G1" s="739"/>
      <c r="H1" s="739"/>
      <c r="I1" s="739"/>
      <c r="J1" s="739"/>
      <c r="K1" s="739"/>
      <c r="L1" s="739"/>
      <c r="M1" s="739"/>
      <c r="N1" s="739"/>
      <c r="O1" s="476" t="s">
        <v>724</v>
      </c>
    </row>
    <row r="2" spans="1:15" ht="21">
      <c r="A2" s="740" t="s">
        <v>854</v>
      </c>
      <c r="B2" s="740"/>
      <c r="C2" s="740"/>
      <c r="D2" s="740"/>
      <c r="E2" s="740"/>
      <c r="F2" s="740"/>
      <c r="G2" s="740"/>
      <c r="H2" s="740"/>
      <c r="I2" s="740"/>
      <c r="J2" s="740"/>
      <c r="K2" s="740"/>
      <c r="L2" s="740"/>
      <c r="M2" s="740"/>
      <c r="N2" s="740"/>
      <c r="O2" s="740"/>
    </row>
    <row r="3" spans="1:11" ht="15">
      <c r="A3" s="183"/>
      <c r="B3" s="183"/>
      <c r="C3" s="183"/>
      <c r="D3" s="183"/>
      <c r="E3" s="183"/>
      <c r="F3" s="183"/>
      <c r="G3" s="183"/>
      <c r="H3" s="183"/>
      <c r="I3" s="183"/>
      <c r="J3" s="183"/>
      <c r="K3" s="183"/>
    </row>
    <row r="4" spans="1:15" ht="18">
      <c r="A4" s="739" t="s">
        <v>725</v>
      </c>
      <c r="B4" s="739"/>
      <c r="C4" s="739"/>
      <c r="D4" s="739"/>
      <c r="E4" s="739"/>
      <c r="F4" s="739"/>
      <c r="G4" s="739"/>
      <c r="H4" s="739"/>
      <c r="I4" s="739"/>
      <c r="J4" s="739"/>
      <c r="K4" s="739"/>
      <c r="L4" s="739"/>
      <c r="M4" s="739"/>
      <c r="N4" s="739"/>
      <c r="O4" s="739"/>
    </row>
    <row r="5" spans="1:11" ht="15">
      <c r="A5" s="184" t="s">
        <v>485</v>
      </c>
      <c r="B5" s="184"/>
      <c r="C5" s="184"/>
      <c r="D5" s="184"/>
      <c r="E5" s="184"/>
      <c r="F5" s="184"/>
      <c r="G5" s="184"/>
      <c r="H5" s="184"/>
      <c r="I5" s="184"/>
      <c r="J5" s="184"/>
      <c r="K5" s="183"/>
    </row>
    <row r="6" spans="1:15" ht="15">
      <c r="A6" s="184"/>
      <c r="B6" s="184"/>
      <c r="C6" s="184"/>
      <c r="D6" s="184"/>
      <c r="E6" s="184"/>
      <c r="F6" s="184"/>
      <c r="G6" s="184"/>
      <c r="H6" s="184"/>
      <c r="I6" s="184"/>
      <c r="J6" s="184"/>
      <c r="K6" s="183"/>
      <c r="M6" s="742" t="s">
        <v>856</v>
      </c>
      <c r="N6" s="742"/>
      <c r="O6" s="742"/>
    </row>
    <row r="7" spans="1:15" s="270" customFormat="1" ht="30" customHeight="1">
      <c r="A7" s="848" t="s">
        <v>2</v>
      </c>
      <c r="B7" s="848" t="s">
        <v>3</v>
      </c>
      <c r="C7" s="848" t="s">
        <v>308</v>
      </c>
      <c r="D7" s="846" t="s">
        <v>309</v>
      </c>
      <c r="E7" s="846" t="s">
        <v>310</v>
      </c>
      <c r="F7" s="846" t="s">
        <v>311</v>
      </c>
      <c r="G7" s="846" t="s">
        <v>312</v>
      </c>
      <c r="H7" s="848" t="s">
        <v>313</v>
      </c>
      <c r="I7" s="848"/>
      <c r="J7" s="848" t="s">
        <v>314</v>
      </c>
      <c r="K7" s="848"/>
      <c r="L7" s="848" t="s">
        <v>1003</v>
      </c>
      <c r="M7" s="848"/>
      <c r="N7" s="848" t="s">
        <v>315</v>
      </c>
      <c r="O7" s="848"/>
    </row>
    <row r="8" spans="1:15" s="270" customFormat="1" ht="51.75" customHeight="1">
      <c r="A8" s="848"/>
      <c r="B8" s="848"/>
      <c r="C8" s="848"/>
      <c r="D8" s="847"/>
      <c r="E8" s="847"/>
      <c r="F8" s="847"/>
      <c r="G8" s="847"/>
      <c r="H8" s="357" t="s">
        <v>316</v>
      </c>
      <c r="I8" s="357" t="s">
        <v>317</v>
      </c>
      <c r="J8" s="357" t="s">
        <v>316</v>
      </c>
      <c r="K8" s="357" t="s">
        <v>317</v>
      </c>
      <c r="L8" s="357" t="s">
        <v>316</v>
      </c>
      <c r="M8" s="357" t="s">
        <v>317</v>
      </c>
      <c r="N8" s="357" t="s">
        <v>316</v>
      </c>
      <c r="O8" s="357" t="s">
        <v>317</v>
      </c>
    </row>
    <row r="9" spans="1:15" ht="15">
      <c r="A9" s="185" t="s">
        <v>263</v>
      </c>
      <c r="B9" s="185" t="s">
        <v>264</v>
      </c>
      <c r="C9" s="185" t="s">
        <v>265</v>
      </c>
      <c r="D9" s="185" t="s">
        <v>266</v>
      </c>
      <c r="E9" s="185" t="s">
        <v>267</v>
      </c>
      <c r="F9" s="185" t="s">
        <v>268</v>
      </c>
      <c r="G9" s="185" t="s">
        <v>269</v>
      </c>
      <c r="H9" s="185" t="s">
        <v>270</v>
      </c>
      <c r="I9" s="185" t="s">
        <v>289</v>
      </c>
      <c r="J9" s="185" t="s">
        <v>290</v>
      </c>
      <c r="K9" s="185" t="s">
        <v>291</v>
      </c>
      <c r="L9" s="185" t="s">
        <v>318</v>
      </c>
      <c r="M9" s="185" t="s">
        <v>319</v>
      </c>
      <c r="N9" s="185" t="s">
        <v>320</v>
      </c>
      <c r="O9" s="185" t="s">
        <v>321</v>
      </c>
    </row>
    <row r="10" spans="1:15" ht="12.75">
      <c r="A10" s="8">
        <v>1</v>
      </c>
      <c r="B10" s="19" t="s">
        <v>476</v>
      </c>
      <c r="C10" s="9"/>
      <c r="D10" s="9"/>
      <c r="E10" s="9"/>
      <c r="F10" s="9"/>
      <c r="G10" s="9"/>
      <c r="H10" s="9"/>
      <c r="I10" s="9"/>
      <c r="J10" s="9"/>
      <c r="K10" s="9"/>
      <c r="L10" s="9"/>
      <c r="M10" s="9"/>
      <c r="N10" s="9"/>
      <c r="O10" s="9"/>
    </row>
    <row r="11" spans="1:15" ht="12.75">
      <c r="A11" s="8">
        <v>2</v>
      </c>
      <c r="B11" s="19" t="s">
        <v>477</v>
      </c>
      <c r="C11" s="9"/>
      <c r="D11" s="9"/>
      <c r="E11" s="9"/>
      <c r="F11" s="9"/>
      <c r="G11" s="9"/>
      <c r="H11" s="9"/>
      <c r="I11" s="9"/>
      <c r="J11" s="9"/>
      <c r="K11" s="9"/>
      <c r="L11" s="9"/>
      <c r="M11" s="9"/>
      <c r="N11" s="9"/>
      <c r="O11" s="9"/>
    </row>
    <row r="12" spans="1:15" ht="12.75">
      <c r="A12" s="8">
        <v>3</v>
      </c>
      <c r="B12" s="19" t="s">
        <v>478</v>
      </c>
      <c r="C12" s="9"/>
      <c r="D12" s="9"/>
      <c r="E12" s="9"/>
      <c r="F12" s="9"/>
      <c r="G12" s="927" t="s">
        <v>512</v>
      </c>
      <c r="H12" s="928"/>
      <c r="I12" s="928"/>
      <c r="J12" s="928"/>
      <c r="K12" s="928"/>
      <c r="L12" s="928"/>
      <c r="M12" s="929"/>
      <c r="N12" s="9"/>
      <c r="O12" s="9"/>
    </row>
    <row r="13" spans="1:15" ht="12.75">
      <c r="A13" s="8">
        <v>4</v>
      </c>
      <c r="B13" s="19" t="s">
        <v>479</v>
      </c>
      <c r="C13" s="9"/>
      <c r="D13" s="9"/>
      <c r="E13" s="9"/>
      <c r="F13" s="9"/>
      <c r="G13" s="930"/>
      <c r="H13" s="931"/>
      <c r="I13" s="931"/>
      <c r="J13" s="931"/>
      <c r="K13" s="931"/>
      <c r="L13" s="931"/>
      <c r="M13" s="932"/>
      <c r="N13" s="9"/>
      <c r="O13" s="9"/>
    </row>
    <row r="14" spans="1:15" ht="12.75">
      <c r="A14" s="8">
        <v>5</v>
      </c>
      <c r="B14" s="19" t="s">
        <v>480</v>
      </c>
      <c r="C14" s="9"/>
      <c r="D14" s="9"/>
      <c r="E14" s="9"/>
      <c r="F14" s="9"/>
      <c r="G14" s="930"/>
      <c r="H14" s="931"/>
      <c r="I14" s="931"/>
      <c r="J14" s="931"/>
      <c r="K14" s="931"/>
      <c r="L14" s="931"/>
      <c r="M14" s="932"/>
      <c r="N14" s="9"/>
      <c r="O14" s="9"/>
    </row>
    <row r="15" spans="1:15" ht="12.75">
      <c r="A15" s="8">
        <v>6</v>
      </c>
      <c r="B15" s="19" t="s">
        <v>481</v>
      </c>
      <c r="C15" s="9"/>
      <c r="D15" s="9"/>
      <c r="E15" s="9"/>
      <c r="F15" s="9"/>
      <c r="G15" s="933"/>
      <c r="H15" s="934"/>
      <c r="I15" s="934"/>
      <c r="J15" s="934"/>
      <c r="K15" s="934"/>
      <c r="L15" s="934"/>
      <c r="M15" s="935"/>
      <c r="N15" s="9"/>
      <c r="O15" s="9"/>
    </row>
    <row r="16" spans="1:15" ht="12.75">
      <c r="A16" s="8">
        <v>7</v>
      </c>
      <c r="B16" s="19" t="s">
        <v>482</v>
      </c>
      <c r="C16" s="9"/>
      <c r="D16" s="9"/>
      <c r="E16" s="9"/>
      <c r="F16" s="9"/>
      <c r="G16" s="9"/>
      <c r="H16" s="9"/>
      <c r="I16" s="9"/>
      <c r="J16" s="9"/>
      <c r="K16" s="9"/>
      <c r="L16" s="9"/>
      <c r="M16" s="9"/>
      <c r="N16" s="9"/>
      <c r="O16" s="9"/>
    </row>
    <row r="17" spans="1:15" ht="12.75">
      <c r="A17" s="8">
        <v>8</v>
      </c>
      <c r="B17" s="19" t="s">
        <v>483</v>
      </c>
      <c r="C17" s="9"/>
      <c r="D17" s="9"/>
      <c r="E17" s="9"/>
      <c r="F17" s="9"/>
      <c r="G17" s="9"/>
      <c r="H17" s="9"/>
      <c r="I17" s="9"/>
      <c r="J17" s="9"/>
      <c r="K17" s="9"/>
      <c r="L17" s="9"/>
      <c r="M17" s="9"/>
      <c r="N17" s="9"/>
      <c r="O17" s="9"/>
    </row>
    <row r="18" spans="1:15" ht="12.75">
      <c r="A18" s="3"/>
      <c r="B18" s="27" t="s">
        <v>484</v>
      </c>
      <c r="C18" s="9"/>
      <c r="D18" s="9"/>
      <c r="E18" s="9"/>
      <c r="F18" s="9"/>
      <c r="G18" s="9"/>
      <c r="H18" s="9"/>
      <c r="I18" s="9"/>
      <c r="J18" s="9"/>
      <c r="K18" s="9"/>
      <c r="L18" s="9"/>
      <c r="M18" s="9"/>
      <c r="N18" s="9"/>
      <c r="O18" s="9"/>
    </row>
    <row r="21" spans="1:15" ht="12.75">
      <c r="A21" s="188"/>
      <c r="B21" s="188"/>
      <c r="C21" s="188"/>
      <c r="D21" s="188"/>
      <c r="L21" s="743"/>
      <c r="M21" s="743"/>
      <c r="N21" s="743"/>
      <c r="O21" s="743"/>
    </row>
    <row r="22" spans="1:15" ht="12.75">
      <c r="A22" s="188"/>
      <c r="B22" s="188"/>
      <c r="C22" s="188"/>
      <c r="D22" s="188"/>
      <c r="L22" s="743" t="s">
        <v>819</v>
      </c>
      <c r="M22" s="743"/>
      <c r="N22" s="743"/>
      <c r="O22" s="743"/>
    </row>
    <row r="23" spans="1:15" ht="12.75">
      <c r="A23" s="188"/>
      <c r="B23" s="188"/>
      <c r="C23" s="188"/>
      <c r="D23" s="188"/>
      <c r="L23" s="743" t="s">
        <v>487</v>
      </c>
      <c r="M23" s="743"/>
      <c r="N23" s="743"/>
      <c r="O23" s="743"/>
    </row>
    <row r="24" spans="1:15" ht="12.75">
      <c r="A24" s="188" t="s">
        <v>11</v>
      </c>
      <c r="C24" s="188"/>
      <c r="D24" s="188"/>
      <c r="L24" s="738" t="s">
        <v>552</v>
      </c>
      <c r="M24" s="738"/>
      <c r="N24" s="738"/>
      <c r="O24" s="192"/>
    </row>
  </sheetData>
  <sheetProtection/>
  <mergeCells count="20">
    <mergeCell ref="A1:N1"/>
    <mergeCell ref="M6:O6"/>
    <mergeCell ref="A7:A8"/>
    <mergeCell ref="B7:B8"/>
    <mergeCell ref="A4:O4"/>
    <mergeCell ref="F7:F8"/>
    <mergeCell ref="D7:D8"/>
    <mergeCell ref="E7:E8"/>
    <mergeCell ref="C7:C8"/>
    <mergeCell ref="N7:O7"/>
    <mergeCell ref="A2:O2"/>
    <mergeCell ref="L24:N24"/>
    <mergeCell ref="G7:G8"/>
    <mergeCell ref="H7:I7"/>
    <mergeCell ref="J7:K7"/>
    <mergeCell ref="L7:M7"/>
    <mergeCell ref="L23:O23"/>
    <mergeCell ref="G12:M15"/>
    <mergeCell ref="L21:O21"/>
    <mergeCell ref="L22:O22"/>
  </mergeCells>
  <printOptions horizontalCentered="1"/>
  <pageMargins left="0.7086614173228347" right="0.24" top="1.54" bottom="0" header="0.93"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2:IU36"/>
  <sheetViews>
    <sheetView view="pageBreakPreview" zoomScale="90" zoomScaleSheetLayoutView="90" zoomScalePageLayoutView="0" workbookViewId="0" topLeftCell="A1">
      <selection activeCell="B10" sqref="B10:B12"/>
    </sheetView>
  </sheetViews>
  <sheetFormatPr defaultColWidth="9.140625" defaultRowHeight="12.75"/>
  <cols>
    <col min="1" max="1" width="5.7109375" style="0" customWidth="1"/>
    <col min="2" max="2" width="31.421875" style="0" customWidth="1"/>
    <col min="3" max="6" width="8.28125" style="0" customWidth="1"/>
    <col min="7" max="18" width="8.140625" style="0" customWidth="1"/>
    <col min="19" max="21" width="9.7109375" style="0" customWidth="1"/>
    <col min="22" max="22" width="10.8515625" style="0" customWidth="1"/>
    <col min="27" max="27" width="11.00390625" style="0" customWidth="1"/>
    <col min="28" max="29" width="8.8515625" style="0" hidden="1" customWidth="1"/>
  </cols>
  <sheetData>
    <row r="2" spans="7:22" ht="12.75">
      <c r="G2" s="697"/>
      <c r="H2" s="697"/>
      <c r="I2" s="697"/>
      <c r="J2" s="697"/>
      <c r="K2" s="697"/>
      <c r="L2" s="697"/>
      <c r="M2" s="697"/>
      <c r="N2" s="697"/>
      <c r="O2" s="697"/>
      <c r="P2" s="1"/>
      <c r="Q2" s="1"/>
      <c r="R2" s="1"/>
      <c r="T2" s="698" t="s">
        <v>55</v>
      </c>
      <c r="U2" s="698"/>
      <c r="V2" s="698"/>
    </row>
    <row r="3" spans="1:22" ht="15">
      <c r="A3" s="642" t="s">
        <v>53</v>
      </c>
      <c r="B3" s="642"/>
      <c r="C3" s="642"/>
      <c r="D3" s="642"/>
      <c r="E3" s="642"/>
      <c r="F3" s="642"/>
      <c r="G3" s="642"/>
      <c r="H3" s="642"/>
      <c r="I3" s="642"/>
      <c r="J3" s="642"/>
      <c r="K3" s="642"/>
      <c r="L3" s="642"/>
      <c r="M3" s="642"/>
      <c r="N3" s="642"/>
      <c r="O3" s="642"/>
      <c r="P3" s="642"/>
      <c r="Q3" s="642"/>
      <c r="R3" s="642"/>
      <c r="S3" s="642"/>
      <c r="T3" s="642"/>
      <c r="U3" s="642"/>
      <c r="V3" s="642"/>
    </row>
    <row r="4" spans="1:255" ht="15.75">
      <c r="A4" s="644" t="s">
        <v>854</v>
      </c>
      <c r="B4" s="644"/>
      <c r="C4" s="644"/>
      <c r="D4" s="644"/>
      <c r="E4" s="644"/>
      <c r="F4" s="644"/>
      <c r="G4" s="644"/>
      <c r="H4" s="644"/>
      <c r="I4" s="644"/>
      <c r="J4" s="644"/>
      <c r="K4" s="644"/>
      <c r="L4" s="644"/>
      <c r="M4" s="644"/>
      <c r="N4" s="644"/>
      <c r="O4" s="644"/>
      <c r="P4" s="644"/>
      <c r="Q4" s="644"/>
      <c r="R4" s="644"/>
      <c r="S4" s="644"/>
      <c r="T4" s="644"/>
      <c r="U4" s="644"/>
      <c r="V4" s="64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row>
    <row r="6" spans="1:22" ht="15">
      <c r="A6" s="712" t="s">
        <v>897</v>
      </c>
      <c r="B6" s="712"/>
      <c r="C6" s="712"/>
      <c r="D6" s="712"/>
      <c r="E6" s="712"/>
      <c r="F6" s="712"/>
      <c r="G6" s="712"/>
      <c r="H6" s="712"/>
      <c r="I6" s="712"/>
      <c r="J6" s="712"/>
      <c r="K6" s="712"/>
      <c r="L6" s="712"/>
      <c r="M6" s="712"/>
      <c r="N6" s="712"/>
      <c r="O6" s="712"/>
      <c r="P6" s="712"/>
      <c r="Q6" s="712"/>
      <c r="R6" s="712"/>
      <c r="S6" s="712"/>
      <c r="T6" s="712"/>
      <c r="U6" s="712"/>
      <c r="V6" s="712"/>
    </row>
    <row r="7" spans="1:21" ht="15.75">
      <c r="A7" s="699" t="s">
        <v>475</v>
      </c>
      <c r="B7" s="699"/>
      <c r="C7" s="699"/>
      <c r="D7" s="29"/>
      <c r="E7" s="29"/>
      <c r="F7" s="29"/>
      <c r="G7" s="48"/>
      <c r="H7" s="48"/>
      <c r="I7" s="48"/>
      <c r="J7" s="48"/>
      <c r="K7" s="48"/>
      <c r="L7" s="48"/>
      <c r="M7" s="48"/>
      <c r="N7" s="48"/>
      <c r="O7" s="48"/>
      <c r="P7" s="48"/>
      <c r="Q7" s="48"/>
      <c r="R7" s="48"/>
      <c r="S7" s="48"/>
      <c r="T7" s="48"/>
      <c r="U7" s="48"/>
    </row>
    <row r="9" spans="21:255" ht="15">
      <c r="U9" s="711" t="s">
        <v>464</v>
      </c>
      <c r="V9" s="711"/>
      <c r="W9" s="16"/>
      <c r="X9" s="16"/>
      <c r="Y9" s="16"/>
      <c r="Z9" s="16"/>
      <c r="AA9" s="701"/>
      <c r="AB9" s="701"/>
      <c r="AC9" s="701"/>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255" s="260" customFormat="1" ht="12.75" customHeight="1">
      <c r="A10" s="714" t="s">
        <v>489</v>
      </c>
      <c r="B10" s="717" t="s">
        <v>104</v>
      </c>
      <c r="C10" s="702" t="s">
        <v>155</v>
      </c>
      <c r="D10" s="703"/>
      <c r="E10" s="703"/>
      <c r="F10" s="704"/>
      <c r="G10" s="702" t="s">
        <v>932</v>
      </c>
      <c r="H10" s="703"/>
      <c r="I10" s="703"/>
      <c r="J10" s="703"/>
      <c r="K10" s="703"/>
      <c r="L10" s="703"/>
      <c r="M10" s="703"/>
      <c r="N10" s="703"/>
      <c r="O10" s="703"/>
      <c r="P10" s="703"/>
      <c r="Q10" s="703"/>
      <c r="R10" s="704"/>
      <c r="S10" s="720" t="s">
        <v>248</v>
      </c>
      <c r="T10" s="721"/>
      <c r="U10" s="721"/>
      <c r="V10" s="721"/>
      <c r="W10" s="259"/>
      <c r="X10" s="259"/>
      <c r="Y10" s="259"/>
      <c r="Z10" s="259"/>
      <c r="AA10" s="259"/>
      <c r="AB10" s="259"/>
      <c r="AC10" s="259"/>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I10" s="258"/>
      <c r="DJ10" s="258"/>
      <c r="DK10" s="258"/>
      <c r="DL10" s="258"/>
      <c r="DM10" s="258"/>
      <c r="DN10" s="258"/>
      <c r="DO10" s="258"/>
      <c r="DP10" s="258"/>
      <c r="DQ10" s="258"/>
      <c r="DR10" s="258"/>
      <c r="DS10" s="258"/>
      <c r="DT10" s="258"/>
      <c r="DU10" s="258"/>
      <c r="DV10" s="258"/>
      <c r="DW10" s="258"/>
      <c r="DX10" s="258"/>
      <c r="DY10" s="258"/>
      <c r="DZ10" s="258"/>
      <c r="EA10" s="258"/>
      <c r="EB10" s="258"/>
      <c r="EC10" s="258"/>
      <c r="ED10" s="258"/>
      <c r="EE10" s="258"/>
      <c r="EF10" s="258"/>
      <c r="EG10" s="258"/>
      <c r="EH10" s="258"/>
      <c r="EI10" s="258"/>
      <c r="EJ10" s="258"/>
      <c r="EK10" s="258"/>
      <c r="EL10" s="258"/>
      <c r="EM10" s="258"/>
      <c r="EN10" s="258"/>
      <c r="EO10" s="258"/>
      <c r="EP10" s="258"/>
      <c r="EQ10" s="258"/>
      <c r="ER10" s="258"/>
      <c r="ES10" s="258"/>
      <c r="ET10" s="258"/>
      <c r="EU10" s="258"/>
      <c r="EV10" s="258"/>
      <c r="EW10" s="258"/>
      <c r="EX10" s="258"/>
      <c r="EY10" s="258"/>
      <c r="EZ10" s="258"/>
      <c r="FA10" s="258"/>
      <c r="FB10" s="258"/>
      <c r="FC10" s="258"/>
      <c r="FD10" s="258"/>
      <c r="FE10" s="258"/>
      <c r="FF10" s="258"/>
      <c r="FG10" s="258"/>
      <c r="FH10" s="258"/>
      <c r="FI10" s="258"/>
      <c r="FJ10" s="258"/>
      <c r="FK10" s="258"/>
      <c r="FL10" s="258"/>
      <c r="FM10" s="258"/>
      <c r="FN10" s="258"/>
      <c r="FO10" s="258"/>
      <c r="FP10" s="258"/>
      <c r="FQ10" s="258"/>
      <c r="FR10" s="258"/>
      <c r="FS10" s="258"/>
      <c r="FT10" s="258"/>
      <c r="FU10" s="258"/>
      <c r="FV10" s="258"/>
      <c r="FW10" s="258"/>
      <c r="FX10" s="258"/>
      <c r="FY10" s="258"/>
      <c r="FZ10" s="258"/>
      <c r="GA10" s="258"/>
      <c r="GB10" s="258"/>
      <c r="GC10" s="258"/>
      <c r="GD10" s="258"/>
      <c r="GE10" s="258"/>
      <c r="GF10" s="258"/>
      <c r="GG10" s="258"/>
      <c r="GH10" s="258"/>
      <c r="GI10" s="258"/>
      <c r="GJ10" s="258"/>
      <c r="GK10" s="258"/>
      <c r="GL10" s="258"/>
      <c r="GM10" s="258"/>
      <c r="GN10" s="258"/>
      <c r="GO10" s="258"/>
      <c r="GP10" s="258"/>
      <c r="GQ10" s="258"/>
      <c r="GR10" s="258"/>
      <c r="GS10" s="258"/>
      <c r="GT10" s="258"/>
      <c r="GU10" s="258"/>
      <c r="GV10" s="258"/>
      <c r="GW10" s="258"/>
      <c r="GX10" s="258"/>
      <c r="GY10" s="258"/>
      <c r="GZ10" s="258"/>
      <c r="HA10" s="258"/>
      <c r="HB10" s="258"/>
      <c r="HC10" s="258"/>
      <c r="HD10" s="258"/>
      <c r="HE10" s="258"/>
      <c r="HF10" s="258"/>
      <c r="HG10" s="258"/>
      <c r="HH10" s="258"/>
      <c r="HI10" s="258"/>
      <c r="HJ10" s="258"/>
      <c r="HK10" s="258"/>
      <c r="HL10" s="258"/>
      <c r="HM10" s="258"/>
      <c r="HN10" s="258"/>
      <c r="HO10" s="258"/>
      <c r="HP10" s="258"/>
      <c r="HQ10" s="258"/>
      <c r="HR10" s="258"/>
      <c r="HS10" s="258"/>
      <c r="HT10" s="258"/>
      <c r="HU10" s="258"/>
      <c r="HV10" s="258"/>
      <c r="HW10" s="258"/>
      <c r="HX10" s="258"/>
      <c r="HY10" s="258"/>
      <c r="HZ10" s="258"/>
      <c r="IA10" s="258"/>
      <c r="IB10" s="258"/>
      <c r="IC10" s="258"/>
      <c r="ID10" s="258"/>
      <c r="IE10" s="258"/>
      <c r="IF10" s="258"/>
      <c r="IG10" s="258"/>
      <c r="IH10" s="258"/>
      <c r="II10" s="258"/>
      <c r="IJ10" s="258"/>
      <c r="IK10" s="258"/>
      <c r="IL10" s="258"/>
      <c r="IM10" s="258"/>
      <c r="IN10" s="258"/>
      <c r="IO10" s="258"/>
      <c r="IP10" s="258"/>
      <c r="IQ10" s="258"/>
      <c r="IR10" s="258"/>
      <c r="IS10" s="258"/>
      <c r="IT10" s="258"/>
      <c r="IU10" s="258"/>
    </row>
    <row r="11" spans="1:255" s="260" customFormat="1" ht="12.75">
      <c r="A11" s="715"/>
      <c r="B11" s="718"/>
      <c r="C11" s="705"/>
      <c r="D11" s="706"/>
      <c r="E11" s="706"/>
      <c r="F11" s="707"/>
      <c r="G11" s="708" t="s">
        <v>173</v>
      </c>
      <c r="H11" s="709"/>
      <c r="I11" s="709"/>
      <c r="J11" s="710"/>
      <c r="K11" s="708" t="s">
        <v>174</v>
      </c>
      <c r="L11" s="709"/>
      <c r="M11" s="709"/>
      <c r="N11" s="710"/>
      <c r="O11" s="678" t="s">
        <v>15</v>
      </c>
      <c r="P11" s="678"/>
      <c r="Q11" s="678"/>
      <c r="R11" s="678"/>
      <c r="S11" s="722"/>
      <c r="T11" s="723"/>
      <c r="U11" s="723"/>
      <c r="V11" s="723"/>
      <c r="W11" s="259"/>
      <c r="X11" s="259"/>
      <c r="Y11" s="259"/>
      <c r="Z11" s="259"/>
      <c r="AA11" s="259"/>
      <c r="AB11" s="259"/>
      <c r="AC11" s="259"/>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8"/>
      <c r="FD11" s="258"/>
      <c r="FE11" s="258"/>
      <c r="FF11" s="258"/>
      <c r="FG11" s="258"/>
      <c r="FH11" s="258"/>
      <c r="FI11" s="258"/>
      <c r="FJ11" s="258"/>
      <c r="FK11" s="258"/>
      <c r="FL11" s="258"/>
      <c r="FM11" s="258"/>
      <c r="FN11" s="258"/>
      <c r="FO11" s="258"/>
      <c r="FP11" s="258"/>
      <c r="FQ11" s="258"/>
      <c r="FR11" s="258"/>
      <c r="FS11" s="258"/>
      <c r="FT11" s="258"/>
      <c r="FU11" s="258"/>
      <c r="FV11" s="258"/>
      <c r="FW11" s="258"/>
      <c r="FX11" s="258"/>
      <c r="FY11" s="258"/>
      <c r="FZ11" s="258"/>
      <c r="GA11" s="258"/>
      <c r="GB11" s="258"/>
      <c r="GC11" s="258"/>
      <c r="GD11" s="258"/>
      <c r="GE11" s="258"/>
      <c r="GF11" s="258"/>
      <c r="GG11" s="258"/>
      <c r="GH11" s="258"/>
      <c r="GI11" s="258"/>
      <c r="GJ11" s="258"/>
      <c r="GK11" s="258"/>
      <c r="GL11" s="258"/>
      <c r="GM11" s="258"/>
      <c r="GN11" s="258"/>
      <c r="GO11" s="258"/>
      <c r="GP11" s="258"/>
      <c r="GQ11" s="258"/>
      <c r="GR11" s="258"/>
      <c r="GS11" s="258"/>
      <c r="GT11" s="258"/>
      <c r="GU11" s="258"/>
      <c r="GV11" s="258"/>
      <c r="GW11" s="258"/>
      <c r="GX11" s="258"/>
      <c r="GY11" s="258"/>
      <c r="GZ11" s="258"/>
      <c r="HA11" s="258"/>
      <c r="HB11" s="258"/>
      <c r="HC11" s="258"/>
      <c r="HD11" s="258"/>
      <c r="HE11" s="258"/>
      <c r="HF11" s="258"/>
      <c r="HG11" s="258"/>
      <c r="HH11" s="258"/>
      <c r="HI11" s="258"/>
      <c r="HJ11" s="258"/>
      <c r="HK11" s="258"/>
      <c r="HL11" s="258"/>
      <c r="HM11" s="258"/>
      <c r="HN11" s="258"/>
      <c r="HO11" s="258"/>
      <c r="HP11" s="258"/>
      <c r="HQ11" s="258"/>
      <c r="HR11" s="258"/>
      <c r="HS11" s="258"/>
      <c r="HT11" s="258"/>
      <c r="HU11" s="258"/>
      <c r="HV11" s="258"/>
      <c r="HW11" s="258"/>
      <c r="HX11" s="258"/>
      <c r="HY11" s="258"/>
      <c r="HZ11" s="258"/>
      <c r="IA11" s="258"/>
      <c r="IB11" s="258"/>
      <c r="IC11" s="258"/>
      <c r="ID11" s="258"/>
      <c r="IE11" s="258"/>
      <c r="IF11" s="258"/>
      <c r="IG11" s="258"/>
      <c r="IH11" s="258"/>
      <c r="II11" s="258"/>
      <c r="IJ11" s="258"/>
      <c r="IK11" s="258"/>
      <c r="IL11" s="258"/>
      <c r="IM11" s="258"/>
      <c r="IN11" s="258"/>
      <c r="IO11" s="258"/>
      <c r="IP11" s="258"/>
      <c r="IQ11" s="258"/>
      <c r="IR11" s="258"/>
      <c r="IS11" s="258"/>
      <c r="IT11" s="258"/>
      <c r="IU11" s="258"/>
    </row>
    <row r="12" spans="1:255" s="260" customFormat="1" ht="38.25">
      <c r="A12" s="716"/>
      <c r="B12" s="719"/>
      <c r="C12" s="158" t="s">
        <v>249</v>
      </c>
      <c r="D12" s="158" t="s">
        <v>250</v>
      </c>
      <c r="E12" s="158" t="s">
        <v>251</v>
      </c>
      <c r="F12" s="158" t="s">
        <v>86</v>
      </c>
      <c r="G12" s="158" t="s">
        <v>249</v>
      </c>
      <c r="H12" s="158" t="s">
        <v>250</v>
      </c>
      <c r="I12" s="158" t="s">
        <v>251</v>
      </c>
      <c r="J12" s="158" t="s">
        <v>15</v>
      </c>
      <c r="K12" s="158" t="s">
        <v>249</v>
      </c>
      <c r="L12" s="158" t="s">
        <v>250</v>
      </c>
      <c r="M12" s="158" t="s">
        <v>251</v>
      </c>
      <c r="N12" s="158" t="s">
        <v>86</v>
      </c>
      <c r="O12" s="158" t="s">
        <v>249</v>
      </c>
      <c r="P12" s="158" t="s">
        <v>250</v>
      </c>
      <c r="Q12" s="158" t="s">
        <v>251</v>
      </c>
      <c r="R12" s="158" t="s">
        <v>15</v>
      </c>
      <c r="S12" s="257" t="s">
        <v>460</v>
      </c>
      <c r="T12" s="257" t="s">
        <v>461</v>
      </c>
      <c r="U12" s="257" t="s">
        <v>462</v>
      </c>
      <c r="V12" s="261" t="s">
        <v>463</v>
      </c>
      <c r="W12" s="259"/>
      <c r="X12" s="259"/>
      <c r="Y12" s="259"/>
      <c r="Z12" s="259"/>
      <c r="AA12" s="259"/>
      <c r="AB12" s="259"/>
      <c r="AC12" s="259"/>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258"/>
      <c r="EB12" s="258"/>
      <c r="EC12" s="258"/>
      <c r="ED12" s="258"/>
      <c r="EE12" s="258"/>
      <c r="EF12" s="258"/>
      <c r="EG12" s="258"/>
      <c r="EH12" s="258"/>
      <c r="EI12" s="258"/>
      <c r="EJ12" s="258"/>
      <c r="EK12" s="258"/>
      <c r="EL12" s="258"/>
      <c r="EM12" s="258"/>
      <c r="EN12" s="258"/>
      <c r="EO12" s="258"/>
      <c r="EP12" s="258"/>
      <c r="EQ12" s="258"/>
      <c r="ER12" s="258"/>
      <c r="ES12" s="258"/>
      <c r="ET12" s="258"/>
      <c r="EU12" s="258"/>
      <c r="EV12" s="258"/>
      <c r="EW12" s="258"/>
      <c r="EX12" s="258"/>
      <c r="EY12" s="258"/>
      <c r="EZ12" s="258"/>
      <c r="FA12" s="258"/>
      <c r="FB12" s="258"/>
      <c r="FC12" s="258"/>
      <c r="FD12" s="258"/>
      <c r="FE12" s="258"/>
      <c r="FF12" s="258"/>
      <c r="FG12" s="258"/>
      <c r="FH12" s="258"/>
      <c r="FI12" s="258"/>
      <c r="FJ12" s="258"/>
      <c r="FK12" s="258"/>
      <c r="FL12" s="258"/>
      <c r="FM12" s="258"/>
      <c r="FN12" s="258"/>
      <c r="FO12" s="258"/>
      <c r="FP12" s="258"/>
      <c r="FQ12" s="258"/>
      <c r="FR12" s="258"/>
      <c r="FS12" s="258"/>
      <c r="FT12" s="258"/>
      <c r="FU12" s="258"/>
      <c r="FV12" s="258"/>
      <c r="FW12" s="258"/>
      <c r="FX12" s="258"/>
      <c r="FY12" s="258"/>
      <c r="FZ12" s="258"/>
      <c r="GA12" s="258"/>
      <c r="GB12" s="258"/>
      <c r="GC12" s="258"/>
      <c r="GD12" s="258"/>
      <c r="GE12" s="258"/>
      <c r="GF12" s="258"/>
      <c r="GG12" s="258"/>
      <c r="GH12" s="258"/>
      <c r="GI12" s="258"/>
      <c r="GJ12" s="258"/>
      <c r="GK12" s="258"/>
      <c r="GL12" s="258"/>
      <c r="GM12" s="258"/>
      <c r="GN12" s="258"/>
      <c r="GO12" s="258"/>
      <c r="GP12" s="258"/>
      <c r="GQ12" s="258"/>
      <c r="GR12" s="258"/>
      <c r="GS12" s="258"/>
      <c r="GT12" s="258"/>
      <c r="GU12" s="258"/>
      <c r="GV12" s="258"/>
      <c r="GW12" s="258"/>
      <c r="GX12" s="258"/>
      <c r="GY12" s="258"/>
      <c r="GZ12" s="258"/>
      <c r="HA12" s="258"/>
      <c r="HB12" s="258"/>
      <c r="HC12" s="258"/>
      <c r="HD12" s="258"/>
      <c r="HE12" s="258"/>
      <c r="HF12" s="258"/>
      <c r="HG12" s="258"/>
      <c r="HH12" s="258"/>
      <c r="HI12" s="258"/>
      <c r="HJ12" s="258"/>
      <c r="HK12" s="258"/>
      <c r="HL12" s="258"/>
      <c r="HM12" s="258"/>
      <c r="HN12" s="258"/>
      <c r="HO12" s="258"/>
      <c r="HP12" s="258"/>
      <c r="HQ12" s="258"/>
      <c r="HR12" s="258"/>
      <c r="HS12" s="258"/>
      <c r="HT12" s="258"/>
      <c r="HU12" s="258"/>
      <c r="HV12" s="258"/>
      <c r="HW12" s="258"/>
      <c r="HX12" s="258"/>
      <c r="HY12" s="258"/>
      <c r="HZ12" s="258"/>
      <c r="IA12" s="258"/>
      <c r="IB12" s="258"/>
      <c r="IC12" s="258"/>
      <c r="ID12" s="258"/>
      <c r="IE12" s="258"/>
      <c r="IF12" s="258"/>
      <c r="IG12" s="258"/>
      <c r="IH12" s="258"/>
      <c r="II12" s="258"/>
      <c r="IJ12" s="258"/>
      <c r="IK12" s="258"/>
      <c r="IL12" s="258"/>
      <c r="IM12" s="258"/>
      <c r="IN12" s="258"/>
      <c r="IO12" s="258"/>
      <c r="IP12" s="258"/>
      <c r="IQ12" s="258"/>
      <c r="IR12" s="258"/>
      <c r="IS12" s="258"/>
      <c r="IT12" s="258"/>
      <c r="IU12" s="258"/>
    </row>
    <row r="13" spans="1:255" ht="12.75">
      <c r="A13" s="139">
        <v>1</v>
      </c>
      <c r="B13" s="159">
        <v>2</v>
      </c>
      <c r="C13" s="139">
        <v>3</v>
      </c>
      <c r="D13" s="139">
        <v>4</v>
      </c>
      <c r="E13" s="159">
        <v>5</v>
      </c>
      <c r="F13" s="139">
        <v>6</v>
      </c>
      <c r="G13" s="139">
        <v>7</v>
      </c>
      <c r="H13" s="159">
        <v>8</v>
      </c>
      <c r="I13" s="139">
        <v>9</v>
      </c>
      <c r="J13" s="139">
        <v>10</v>
      </c>
      <c r="K13" s="159">
        <v>11</v>
      </c>
      <c r="L13" s="139">
        <v>12</v>
      </c>
      <c r="M13" s="139">
        <v>13</v>
      </c>
      <c r="N13" s="159">
        <v>14</v>
      </c>
      <c r="O13" s="139">
        <v>15</v>
      </c>
      <c r="P13" s="139">
        <v>16</v>
      </c>
      <c r="Q13" s="159">
        <v>17</v>
      </c>
      <c r="R13" s="139">
        <v>18</v>
      </c>
      <c r="S13" s="139">
        <v>19</v>
      </c>
      <c r="T13" s="159">
        <v>20</v>
      </c>
      <c r="U13" s="139">
        <v>21</v>
      </c>
      <c r="V13" s="139">
        <v>22</v>
      </c>
      <c r="W13" s="160"/>
      <c r="X13" s="160"/>
      <c r="Y13" s="160"/>
      <c r="Z13" s="160"/>
      <c r="AA13" s="160"/>
      <c r="AB13" s="160"/>
      <c r="AC13" s="160"/>
      <c r="AD13" s="160"/>
      <c r="AE13" s="160"/>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row>
    <row r="14" spans="1:255" ht="12.75">
      <c r="A14" s="18"/>
      <c r="B14" s="161" t="s">
        <v>235</v>
      </c>
      <c r="C14" s="18"/>
      <c r="D14" s="18"/>
      <c r="E14" s="18"/>
      <c r="F14" s="224"/>
      <c r="G14" s="8"/>
      <c r="H14" s="8"/>
      <c r="I14" s="8"/>
      <c r="J14" s="224"/>
      <c r="K14" s="8"/>
      <c r="L14" s="8"/>
      <c r="M14" s="8"/>
      <c r="N14" s="8"/>
      <c r="O14" s="8"/>
      <c r="P14" s="8"/>
      <c r="Q14" s="8"/>
      <c r="R14" s="8"/>
      <c r="S14" s="8"/>
      <c r="T14" s="9"/>
      <c r="U14" s="9"/>
      <c r="V14" s="9"/>
      <c r="W14" s="122"/>
      <c r="X14" s="122"/>
      <c r="Y14" s="122"/>
      <c r="Z14" s="122"/>
      <c r="AA14" s="122"/>
      <c r="AB14" s="122"/>
      <c r="AC14" s="122"/>
      <c r="AD14" s="122"/>
      <c r="AE14" s="122"/>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row>
    <row r="15" spans="1:255" ht="12.75">
      <c r="A15" s="3">
        <v>1</v>
      </c>
      <c r="B15" s="161" t="s">
        <v>180</v>
      </c>
      <c r="C15" s="327">
        <v>156.104</v>
      </c>
      <c r="D15" s="327">
        <v>51.03400000000001</v>
      </c>
      <c r="E15" s="327">
        <v>93.06200000000001</v>
      </c>
      <c r="F15" s="328">
        <f>SUM(C15:E15)</f>
        <v>300.20000000000005</v>
      </c>
      <c r="G15" s="329">
        <v>150.5452</v>
      </c>
      <c r="H15" s="329">
        <v>49.2167</v>
      </c>
      <c r="I15" s="329">
        <v>89.7481</v>
      </c>
      <c r="J15" s="328">
        <f>SUM(G15:I15)</f>
        <v>289.51</v>
      </c>
      <c r="K15" s="329">
        <v>0</v>
      </c>
      <c r="L15" s="329">
        <v>0</v>
      </c>
      <c r="M15" s="329">
        <v>0</v>
      </c>
      <c r="N15" s="328">
        <f>SUM(K15:M15)</f>
        <v>0</v>
      </c>
      <c r="O15" s="329">
        <f aca="true" t="shared" si="0" ref="O15:R20">G15+K15</f>
        <v>150.5452</v>
      </c>
      <c r="P15" s="329">
        <f t="shared" si="0"/>
        <v>49.2167</v>
      </c>
      <c r="Q15" s="329">
        <f t="shared" si="0"/>
        <v>89.7481</v>
      </c>
      <c r="R15" s="328">
        <f t="shared" si="0"/>
        <v>289.51</v>
      </c>
      <c r="S15" s="329">
        <f>C15-O15</f>
        <v>5.558800000000019</v>
      </c>
      <c r="T15" s="329">
        <f aca="true" t="shared" si="1" ref="S15:V20">D15-P15</f>
        <v>1.8173000000000101</v>
      </c>
      <c r="U15" s="329">
        <f t="shared" si="1"/>
        <v>3.313900000000018</v>
      </c>
      <c r="V15" s="328">
        <f t="shared" si="1"/>
        <v>10.690000000000055</v>
      </c>
      <c r="W15" s="122"/>
      <c r="X15" s="122"/>
      <c r="Y15" s="122"/>
      <c r="Z15" s="122"/>
      <c r="AA15" s="122"/>
      <c r="AB15" s="122"/>
      <c r="AC15" s="122"/>
      <c r="AD15" s="122"/>
      <c r="AE15" s="122"/>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row>
    <row r="16" spans="1:27" ht="12.75">
      <c r="A16" s="3">
        <v>2</v>
      </c>
      <c r="B16" s="162" t="s">
        <v>125</v>
      </c>
      <c r="C16" s="329">
        <v>2282.3787999999995</v>
      </c>
      <c r="D16" s="329">
        <v>746.1623</v>
      </c>
      <c r="E16" s="329">
        <v>1360.6489</v>
      </c>
      <c r="F16" s="328">
        <f>SUM(C16:E16)</f>
        <v>4389.19</v>
      </c>
      <c r="G16" s="329">
        <v>2033.7226</v>
      </c>
      <c r="H16" s="329">
        <v>664.87085</v>
      </c>
      <c r="I16" s="329">
        <v>1212.41155</v>
      </c>
      <c r="J16" s="328">
        <f>SUM(G16:I16)</f>
        <v>3911.005</v>
      </c>
      <c r="K16" s="329">
        <v>240.1178</v>
      </c>
      <c r="L16" s="329">
        <v>78.50005</v>
      </c>
      <c r="M16" s="329">
        <v>143.14714999999998</v>
      </c>
      <c r="N16" s="328">
        <f>SUM(K16:M16)</f>
        <v>461.765</v>
      </c>
      <c r="O16" s="329">
        <f t="shared" si="0"/>
        <v>2273.8404</v>
      </c>
      <c r="P16" s="329">
        <f t="shared" si="0"/>
        <v>743.3709</v>
      </c>
      <c r="Q16" s="329">
        <f t="shared" si="0"/>
        <v>1355.5587</v>
      </c>
      <c r="R16" s="328">
        <f t="shared" si="0"/>
        <v>4372.77</v>
      </c>
      <c r="S16" s="329">
        <f t="shared" si="1"/>
        <v>8.538399999999456</v>
      </c>
      <c r="T16" s="329">
        <f t="shared" si="1"/>
        <v>2.7913999999999533</v>
      </c>
      <c r="U16" s="329">
        <f t="shared" si="1"/>
        <v>5.090199999999868</v>
      </c>
      <c r="V16" s="328">
        <f t="shared" si="1"/>
        <v>16.419999999999163</v>
      </c>
      <c r="X16" s="699"/>
      <c r="Y16" s="699"/>
      <c r="Z16" s="699"/>
      <c r="AA16" s="699"/>
    </row>
    <row r="17" spans="1:22" ht="12.75">
      <c r="A17" s="3">
        <v>3</v>
      </c>
      <c r="B17" s="161" t="s">
        <v>126</v>
      </c>
      <c r="C17" s="329">
        <v>98.3424</v>
      </c>
      <c r="D17" s="329">
        <v>32.150400000000005</v>
      </c>
      <c r="E17" s="329">
        <v>58.6272</v>
      </c>
      <c r="F17" s="328">
        <f>SUM(C17:E17)</f>
        <v>189.12</v>
      </c>
      <c r="G17" s="329">
        <v>94.84176</v>
      </c>
      <c r="H17" s="329">
        <v>31.00596</v>
      </c>
      <c r="I17" s="329">
        <v>56.54028</v>
      </c>
      <c r="J17" s="328">
        <f>SUM(G17:I17)</f>
        <v>182.388</v>
      </c>
      <c r="K17" s="329">
        <v>0</v>
      </c>
      <c r="L17" s="329">
        <v>0</v>
      </c>
      <c r="M17" s="329">
        <v>0</v>
      </c>
      <c r="N17" s="328">
        <f>SUM(K17:M17)</f>
        <v>0</v>
      </c>
      <c r="O17" s="329">
        <f t="shared" si="0"/>
        <v>94.84176</v>
      </c>
      <c r="P17" s="329">
        <f t="shared" si="0"/>
        <v>31.00596</v>
      </c>
      <c r="Q17" s="329">
        <f t="shared" si="0"/>
        <v>56.54028</v>
      </c>
      <c r="R17" s="328">
        <f t="shared" si="0"/>
        <v>182.388</v>
      </c>
      <c r="S17" s="329">
        <f t="shared" si="1"/>
        <v>3.500640000000004</v>
      </c>
      <c r="T17" s="329">
        <f t="shared" si="1"/>
        <v>1.144440000000003</v>
      </c>
      <c r="U17" s="329">
        <f t="shared" si="1"/>
        <v>2.086919999999999</v>
      </c>
      <c r="V17" s="328">
        <f t="shared" si="1"/>
        <v>6.731999999999999</v>
      </c>
    </row>
    <row r="18" spans="1:22" ht="12.75">
      <c r="A18" s="3">
        <v>4</v>
      </c>
      <c r="B18" s="162" t="s">
        <v>127</v>
      </c>
      <c r="C18" s="329">
        <v>50.31</v>
      </c>
      <c r="D18" s="329">
        <v>16.4475</v>
      </c>
      <c r="E18" s="329">
        <v>29.9925</v>
      </c>
      <c r="F18" s="328">
        <f>SUM(C18:E18)</f>
        <v>96.75</v>
      </c>
      <c r="G18" s="329">
        <v>50.31</v>
      </c>
      <c r="H18" s="329">
        <v>16.4475</v>
      </c>
      <c r="I18" s="329">
        <v>29.9925</v>
      </c>
      <c r="J18" s="328">
        <f>SUM(G18:I18)</f>
        <v>96.75</v>
      </c>
      <c r="K18" s="329">
        <v>0</v>
      </c>
      <c r="L18" s="329">
        <v>0</v>
      </c>
      <c r="M18" s="329">
        <v>0</v>
      </c>
      <c r="N18" s="328">
        <f>SUM(K18:M18)</f>
        <v>0</v>
      </c>
      <c r="O18" s="329">
        <f t="shared" si="0"/>
        <v>50.31</v>
      </c>
      <c r="P18" s="329">
        <f t="shared" si="0"/>
        <v>16.4475</v>
      </c>
      <c r="Q18" s="329">
        <f t="shared" si="0"/>
        <v>29.9925</v>
      </c>
      <c r="R18" s="328">
        <f t="shared" si="0"/>
        <v>96.75</v>
      </c>
      <c r="S18" s="329">
        <f t="shared" si="1"/>
        <v>0</v>
      </c>
      <c r="T18" s="329">
        <f t="shared" si="1"/>
        <v>0</v>
      </c>
      <c r="U18" s="329">
        <f t="shared" si="1"/>
        <v>0</v>
      </c>
      <c r="V18" s="328">
        <f t="shared" si="1"/>
        <v>0</v>
      </c>
    </row>
    <row r="19" spans="1:22" ht="12.75">
      <c r="A19" s="262">
        <v>5</v>
      </c>
      <c r="B19" s="161" t="s">
        <v>128</v>
      </c>
      <c r="C19" s="329">
        <v>859.8719999999998</v>
      </c>
      <c r="D19" s="329">
        <v>281.112</v>
      </c>
      <c r="E19" s="329">
        <v>512.616</v>
      </c>
      <c r="F19" s="328">
        <f>SUM(C19:E19)</f>
        <v>1653.6</v>
      </c>
      <c r="G19" s="329">
        <v>516.11144</v>
      </c>
      <c r="H19" s="329">
        <v>168.72874000000002</v>
      </c>
      <c r="I19" s="329">
        <v>307.68182</v>
      </c>
      <c r="J19" s="328">
        <f>SUM(G19:I19)</f>
        <v>992.522</v>
      </c>
      <c r="K19" s="329">
        <v>343.71272</v>
      </c>
      <c r="L19" s="329">
        <v>112.36762</v>
      </c>
      <c r="M19" s="329">
        <v>204.90565999999998</v>
      </c>
      <c r="N19" s="328">
        <f>SUM(K19:M19)</f>
        <v>660.986</v>
      </c>
      <c r="O19" s="329">
        <f t="shared" si="0"/>
        <v>859.82416</v>
      </c>
      <c r="P19" s="329">
        <f t="shared" si="0"/>
        <v>281.09636</v>
      </c>
      <c r="Q19" s="329">
        <f t="shared" si="0"/>
        <v>512.58748</v>
      </c>
      <c r="R19" s="328">
        <f t="shared" si="0"/>
        <v>1653.508</v>
      </c>
      <c r="S19" s="329">
        <f t="shared" si="1"/>
        <v>0.047839999999837346</v>
      </c>
      <c r="T19" s="329">
        <f t="shared" si="1"/>
        <v>0.015640000000018972</v>
      </c>
      <c r="U19" s="329">
        <f t="shared" si="1"/>
        <v>0.02851999999995769</v>
      </c>
      <c r="V19" s="328">
        <f t="shared" si="1"/>
        <v>0.09199999999987085</v>
      </c>
    </row>
    <row r="20" spans="1:22" s="16" customFormat="1" ht="12.75">
      <c r="A20" s="223"/>
      <c r="B20" s="234" t="s">
        <v>86</v>
      </c>
      <c r="C20" s="327">
        <f aca="true" t="shared" si="2" ref="C20:N20">SUM(C15:C19)</f>
        <v>3447.007199999999</v>
      </c>
      <c r="D20" s="327">
        <f t="shared" si="2"/>
        <v>1126.9062</v>
      </c>
      <c r="E20" s="327">
        <f t="shared" si="2"/>
        <v>2054.9466</v>
      </c>
      <c r="F20" s="328">
        <f t="shared" si="2"/>
        <v>6628.859999999999</v>
      </c>
      <c r="G20" s="327">
        <f t="shared" si="2"/>
        <v>2845.531</v>
      </c>
      <c r="H20" s="327">
        <f t="shared" si="2"/>
        <v>930.2697499999999</v>
      </c>
      <c r="I20" s="327">
        <f t="shared" si="2"/>
        <v>1696.37425</v>
      </c>
      <c r="J20" s="328">
        <f t="shared" si="2"/>
        <v>5472.175</v>
      </c>
      <c r="K20" s="327">
        <f t="shared" si="2"/>
        <v>583.83052</v>
      </c>
      <c r="L20" s="327">
        <f t="shared" si="2"/>
        <v>190.86767</v>
      </c>
      <c r="M20" s="327">
        <f t="shared" si="2"/>
        <v>348.05280999999997</v>
      </c>
      <c r="N20" s="328">
        <f t="shared" si="2"/>
        <v>1122.751</v>
      </c>
      <c r="O20" s="329">
        <f t="shared" si="0"/>
        <v>3429.36152</v>
      </c>
      <c r="P20" s="329">
        <f t="shared" si="0"/>
        <v>1121.13742</v>
      </c>
      <c r="Q20" s="329">
        <f t="shared" si="0"/>
        <v>2044.42706</v>
      </c>
      <c r="R20" s="328">
        <f t="shared" si="0"/>
        <v>6594.926</v>
      </c>
      <c r="S20" s="329">
        <f t="shared" si="1"/>
        <v>17.645679999999174</v>
      </c>
      <c r="T20" s="329">
        <f t="shared" si="1"/>
        <v>5.768779999999879</v>
      </c>
      <c r="U20" s="329">
        <f t="shared" si="1"/>
        <v>10.519540000000234</v>
      </c>
      <c r="V20" s="328">
        <f t="shared" si="1"/>
        <v>33.93399999999838</v>
      </c>
    </row>
    <row r="21" spans="1:22" ht="12.75">
      <c r="A21" s="3"/>
      <c r="B21" s="163" t="s">
        <v>236</v>
      </c>
      <c r="C21" s="329"/>
      <c r="D21" s="329"/>
      <c r="E21" s="329"/>
      <c r="F21" s="328"/>
      <c r="G21" s="329"/>
      <c r="H21" s="329"/>
      <c r="I21" s="329"/>
      <c r="J21" s="328"/>
      <c r="K21" s="329"/>
      <c r="L21" s="329"/>
      <c r="M21" s="329"/>
      <c r="N21" s="328"/>
      <c r="O21" s="329"/>
      <c r="P21" s="329"/>
      <c r="Q21" s="329"/>
      <c r="R21" s="328"/>
      <c r="S21" s="329"/>
      <c r="T21" s="329"/>
      <c r="U21" s="329"/>
      <c r="V21" s="328"/>
    </row>
    <row r="22" spans="1:22" ht="12.75">
      <c r="A22" s="3">
        <v>6</v>
      </c>
      <c r="B22" s="161" t="s">
        <v>181</v>
      </c>
      <c r="C22" s="329">
        <v>0</v>
      </c>
      <c r="D22" s="329">
        <v>0</v>
      </c>
      <c r="E22" s="329">
        <v>0</v>
      </c>
      <c r="F22" s="328">
        <f>SUM(C22:E22)</f>
        <v>0</v>
      </c>
      <c r="G22" s="329">
        <v>0</v>
      </c>
      <c r="H22" s="329">
        <v>0</v>
      </c>
      <c r="I22" s="329">
        <v>0</v>
      </c>
      <c r="J22" s="328">
        <f>SUM(G22:I22)</f>
        <v>0</v>
      </c>
      <c r="K22" s="329">
        <v>0</v>
      </c>
      <c r="L22" s="329">
        <v>0</v>
      </c>
      <c r="M22" s="329">
        <v>0</v>
      </c>
      <c r="N22" s="328">
        <f>SUM(K22:M22)</f>
        <v>0</v>
      </c>
      <c r="O22" s="329">
        <f aca="true" t="shared" si="3" ref="O22:R23">G22+K22</f>
        <v>0</v>
      </c>
      <c r="P22" s="329">
        <f t="shared" si="3"/>
        <v>0</v>
      </c>
      <c r="Q22" s="329">
        <f t="shared" si="3"/>
        <v>0</v>
      </c>
      <c r="R22" s="328">
        <f t="shared" si="3"/>
        <v>0</v>
      </c>
      <c r="S22" s="329">
        <f aca="true" t="shared" si="4" ref="S22:V24">C22-O22</f>
        <v>0</v>
      </c>
      <c r="T22" s="329">
        <f t="shared" si="4"/>
        <v>0</v>
      </c>
      <c r="U22" s="329">
        <f t="shared" si="4"/>
        <v>0</v>
      </c>
      <c r="V22" s="328">
        <f t="shared" si="4"/>
        <v>0</v>
      </c>
    </row>
    <row r="23" spans="1:22" ht="12.75">
      <c r="A23" s="3">
        <v>7</v>
      </c>
      <c r="B23" s="162" t="s">
        <v>130</v>
      </c>
      <c r="C23" s="329">
        <v>51.974000000000004</v>
      </c>
      <c r="D23" s="329">
        <v>16.991500000000002</v>
      </c>
      <c r="E23" s="329">
        <v>30.9845</v>
      </c>
      <c r="F23" s="328">
        <f>SUM(C23:E23)</f>
        <v>99.95</v>
      </c>
      <c r="G23" s="329">
        <v>0</v>
      </c>
      <c r="H23" s="329">
        <v>0</v>
      </c>
      <c r="I23" s="329">
        <v>0</v>
      </c>
      <c r="J23" s="328">
        <f>SUM(G23:I23)</f>
        <v>0</v>
      </c>
      <c r="K23" s="329">
        <v>0</v>
      </c>
      <c r="L23" s="329">
        <v>0</v>
      </c>
      <c r="M23" s="329">
        <v>0</v>
      </c>
      <c r="N23" s="328">
        <f>SUM(K23:M23)</f>
        <v>0</v>
      </c>
      <c r="O23" s="329">
        <f t="shared" si="3"/>
        <v>0</v>
      </c>
      <c r="P23" s="329">
        <f t="shared" si="3"/>
        <v>0</v>
      </c>
      <c r="Q23" s="329">
        <f t="shared" si="3"/>
        <v>0</v>
      </c>
      <c r="R23" s="328">
        <f t="shared" si="3"/>
        <v>0</v>
      </c>
      <c r="S23" s="329">
        <f t="shared" si="4"/>
        <v>51.974000000000004</v>
      </c>
      <c r="T23" s="329">
        <f t="shared" si="4"/>
        <v>16.991500000000002</v>
      </c>
      <c r="U23" s="329">
        <f t="shared" si="4"/>
        <v>30.9845</v>
      </c>
      <c r="V23" s="328">
        <f t="shared" si="4"/>
        <v>99.95</v>
      </c>
    </row>
    <row r="24" spans="1:22" ht="12.75">
      <c r="A24" s="3">
        <v>8</v>
      </c>
      <c r="B24" s="162" t="s">
        <v>931</v>
      </c>
      <c r="C24" s="329">
        <v>258.2944</v>
      </c>
      <c r="D24" s="329">
        <v>84.4424</v>
      </c>
      <c r="E24" s="329">
        <v>153.9832</v>
      </c>
      <c r="F24" s="328">
        <f>SUM(C24:E24)</f>
        <v>496.72</v>
      </c>
      <c r="G24" s="329">
        <v>0</v>
      </c>
      <c r="H24" s="329">
        <v>0</v>
      </c>
      <c r="I24" s="329">
        <v>0</v>
      </c>
      <c r="J24" s="328">
        <f>SUM(G24:I24)</f>
        <v>0</v>
      </c>
      <c r="K24" s="329">
        <v>170.38320000000002</v>
      </c>
      <c r="L24" s="329">
        <v>55.702200000000005</v>
      </c>
      <c r="M24" s="329">
        <v>101.5746</v>
      </c>
      <c r="N24" s="328">
        <f>SUM(K24:M24)</f>
        <v>327.66</v>
      </c>
      <c r="O24" s="329">
        <f>G24+K24</f>
        <v>170.38320000000002</v>
      </c>
      <c r="P24" s="329">
        <f>H24+L24</f>
        <v>55.702200000000005</v>
      </c>
      <c r="Q24" s="329">
        <f>I24+M24</f>
        <v>101.5746</v>
      </c>
      <c r="R24" s="328">
        <f>J24+N24</f>
        <v>327.66</v>
      </c>
      <c r="S24" s="329">
        <f>C24-O24</f>
        <v>87.91119999999998</v>
      </c>
      <c r="T24" s="329">
        <f>D24-P24</f>
        <v>28.7402</v>
      </c>
      <c r="U24" s="329">
        <f>E24-Q24</f>
        <v>52.40860000000001</v>
      </c>
      <c r="V24" s="328">
        <f t="shared" si="4"/>
        <v>169.06</v>
      </c>
    </row>
    <row r="25" spans="1:22" ht="12.75">
      <c r="A25" s="9"/>
      <c r="B25" s="162" t="s">
        <v>86</v>
      </c>
      <c r="C25" s="329">
        <f>SUM(C22:C24)</f>
        <v>310.2684</v>
      </c>
      <c r="D25" s="329">
        <f aca="true" t="shared" si="5" ref="D25:V25">SUM(D22:D24)</f>
        <v>101.43390000000001</v>
      </c>
      <c r="E25" s="329">
        <f t="shared" si="5"/>
        <v>184.9677</v>
      </c>
      <c r="F25" s="328">
        <f t="shared" si="5"/>
        <v>596.6700000000001</v>
      </c>
      <c r="G25" s="329">
        <f t="shared" si="5"/>
        <v>0</v>
      </c>
      <c r="H25" s="329">
        <f t="shared" si="5"/>
        <v>0</v>
      </c>
      <c r="I25" s="329">
        <f t="shared" si="5"/>
        <v>0</v>
      </c>
      <c r="J25" s="328">
        <f t="shared" si="5"/>
        <v>0</v>
      </c>
      <c r="K25" s="329">
        <f t="shared" si="5"/>
        <v>170.38320000000002</v>
      </c>
      <c r="L25" s="329">
        <f t="shared" si="5"/>
        <v>55.702200000000005</v>
      </c>
      <c r="M25" s="329">
        <f t="shared" si="5"/>
        <v>101.5746</v>
      </c>
      <c r="N25" s="328">
        <f t="shared" si="5"/>
        <v>327.66</v>
      </c>
      <c r="O25" s="329">
        <f t="shared" si="5"/>
        <v>170.38320000000002</v>
      </c>
      <c r="P25" s="329">
        <f t="shared" si="5"/>
        <v>55.702200000000005</v>
      </c>
      <c r="Q25" s="329">
        <f t="shared" si="5"/>
        <v>101.5746</v>
      </c>
      <c r="R25" s="328">
        <f t="shared" si="5"/>
        <v>327.66</v>
      </c>
      <c r="S25" s="329">
        <f t="shared" si="5"/>
        <v>139.8852</v>
      </c>
      <c r="T25" s="329">
        <f t="shared" si="5"/>
        <v>45.731700000000004</v>
      </c>
      <c r="U25" s="329">
        <f t="shared" si="5"/>
        <v>83.3931</v>
      </c>
      <c r="V25" s="328">
        <f t="shared" si="5"/>
        <v>269.01</v>
      </c>
    </row>
    <row r="26" spans="1:22" ht="12.75">
      <c r="A26" s="9"/>
      <c r="B26" s="162" t="s">
        <v>33</v>
      </c>
      <c r="C26" s="330">
        <f aca="true" t="shared" si="6" ref="C26:V26">C20+C25</f>
        <v>3757.275599999999</v>
      </c>
      <c r="D26" s="330">
        <f t="shared" si="6"/>
        <v>1228.3401</v>
      </c>
      <c r="E26" s="330">
        <f t="shared" si="6"/>
        <v>2239.9143000000004</v>
      </c>
      <c r="F26" s="331">
        <f t="shared" si="6"/>
        <v>7225.529999999999</v>
      </c>
      <c r="G26" s="330">
        <f t="shared" si="6"/>
        <v>2845.531</v>
      </c>
      <c r="H26" s="330">
        <f t="shared" si="6"/>
        <v>930.2697499999999</v>
      </c>
      <c r="I26" s="330">
        <f t="shared" si="6"/>
        <v>1696.37425</v>
      </c>
      <c r="J26" s="331">
        <f t="shared" si="6"/>
        <v>5472.175</v>
      </c>
      <c r="K26" s="330">
        <f t="shared" si="6"/>
        <v>754.21372</v>
      </c>
      <c r="L26" s="330">
        <f t="shared" si="6"/>
        <v>246.56987</v>
      </c>
      <c r="M26" s="330">
        <f t="shared" si="6"/>
        <v>449.62740999999994</v>
      </c>
      <c r="N26" s="331">
        <f t="shared" si="6"/>
        <v>1450.411</v>
      </c>
      <c r="O26" s="330">
        <f t="shared" si="6"/>
        <v>3599.74472</v>
      </c>
      <c r="P26" s="330">
        <f t="shared" si="6"/>
        <v>1176.83962</v>
      </c>
      <c r="Q26" s="330">
        <f t="shared" si="6"/>
        <v>2146.00166</v>
      </c>
      <c r="R26" s="331">
        <f t="shared" si="6"/>
        <v>6922.586</v>
      </c>
      <c r="S26" s="330">
        <f t="shared" si="6"/>
        <v>157.53087999999917</v>
      </c>
      <c r="T26" s="330">
        <f t="shared" si="6"/>
        <v>51.50047999999988</v>
      </c>
      <c r="U26" s="330">
        <f t="shared" si="6"/>
        <v>93.91264000000024</v>
      </c>
      <c r="V26" s="331">
        <f t="shared" si="6"/>
        <v>302.94399999999837</v>
      </c>
    </row>
    <row r="27" spans="1:22" ht="12.75">
      <c r="A27" s="13"/>
      <c r="B27" s="263"/>
      <c r="C27" s="582"/>
      <c r="D27" s="582"/>
      <c r="E27" s="582"/>
      <c r="F27" s="583"/>
      <c r="G27" s="582"/>
      <c r="H27" s="582"/>
      <c r="I27" s="582"/>
      <c r="J27" s="583"/>
      <c r="K27" s="582"/>
      <c r="L27" s="582"/>
      <c r="M27" s="582"/>
      <c r="N27" s="583"/>
      <c r="O27" s="582"/>
      <c r="P27" s="582"/>
      <c r="Q27" s="582"/>
      <c r="R27" s="583"/>
      <c r="S27" s="582"/>
      <c r="T27" s="582"/>
      <c r="U27" s="582"/>
      <c r="V27" s="583"/>
    </row>
    <row r="28" spans="1:22" ht="12.75">
      <c r="A28" s="21" t="s">
        <v>1048</v>
      </c>
      <c r="B28" s="263" t="s">
        <v>982</v>
      </c>
      <c r="C28" s="13"/>
      <c r="D28" s="13"/>
      <c r="E28" s="13"/>
      <c r="F28" s="264"/>
      <c r="G28" s="13"/>
      <c r="H28" s="13"/>
      <c r="I28" s="13"/>
      <c r="J28" s="264"/>
      <c r="K28" s="13"/>
      <c r="L28" s="13"/>
      <c r="M28" s="13"/>
      <c r="N28" s="13"/>
      <c r="O28" s="13"/>
      <c r="P28" s="13"/>
      <c r="Q28" s="13"/>
      <c r="R28" s="13"/>
      <c r="S28" s="13"/>
      <c r="T28" s="13"/>
      <c r="U28" s="13"/>
      <c r="V28" s="13"/>
    </row>
    <row r="29" spans="1:22" ht="12.75">
      <c r="A29" s="13"/>
      <c r="B29" s="263" t="s">
        <v>1031</v>
      </c>
      <c r="C29" s="13"/>
      <c r="D29" s="13"/>
      <c r="E29" s="13"/>
      <c r="F29" s="264"/>
      <c r="G29" s="13"/>
      <c r="H29" s="13"/>
      <c r="I29" s="13"/>
      <c r="J29" s="264"/>
      <c r="K29" s="13"/>
      <c r="L29" s="13"/>
      <c r="M29" s="13"/>
      <c r="N29" s="13" t="s">
        <v>10</v>
      </c>
      <c r="O29" s="13"/>
      <c r="P29" s="13"/>
      <c r="Q29" s="13"/>
      <c r="R29" s="13"/>
      <c r="S29" s="13"/>
      <c r="T29" s="13"/>
      <c r="U29" s="13"/>
      <c r="V29" s="13"/>
    </row>
    <row r="30" spans="1:22" ht="12.75">
      <c r="A30" s="21" t="s">
        <v>1049</v>
      </c>
      <c r="B30" s="713" t="s">
        <v>1051</v>
      </c>
      <c r="C30" s="713"/>
      <c r="D30" s="713"/>
      <c r="E30" s="713"/>
      <c r="F30" s="713"/>
      <c r="G30" s="713"/>
      <c r="H30" s="713"/>
      <c r="I30" s="713"/>
      <c r="J30" s="713"/>
      <c r="K30" s="713"/>
      <c r="L30" s="713"/>
      <c r="M30" s="713"/>
      <c r="N30" s="713"/>
      <c r="O30" s="713"/>
      <c r="P30" s="713"/>
      <c r="Q30" s="713"/>
      <c r="R30" s="713"/>
      <c r="S30" s="713"/>
      <c r="T30" s="713"/>
      <c r="U30" s="713"/>
      <c r="V30" s="713"/>
    </row>
    <row r="31" spans="2:22" ht="12.75">
      <c r="B31" s="713" t="s">
        <v>1050</v>
      </c>
      <c r="C31" s="713"/>
      <c r="D31" s="713"/>
      <c r="E31" s="713"/>
      <c r="F31" s="713"/>
      <c r="G31" s="713"/>
      <c r="H31" s="713"/>
      <c r="I31" s="713"/>
      <c r="J31" s="713"/>
      <c r="K31" s="713"/>
      <c r="L31" s="713"/>
      <c r="M31" s="713"/>
      <c r="N31" s="713"/>
      <c r="O31" s="713"/>
      <c r="P31" s="713" t="s">
        <v>10</v>
      </c>
      <c r="Q31" s="713" t="s">
        <v>10</v>
      </c>
      <c r="R31" s="713" t="s">
        <v>10</v>
      </c>
      <c r="S31" s="713"/>
      <c r="T31" s="713"/>
      <c r="U31" s="713"/>
      <c r="V31" s="713"/>
    </row>
    <row r="32" spans="2:15" ht="12.75">
      <c r="B32" s="478"/>
      <c r="C32" s="478"/>
      <c r="D32" s="478"/>
      <c r="E32" s="478"/>
      <c r="F32" s="478"/>
      <c r="G32" s="478"/>
      <c r="H32" s="478"/>
      <c r="I32" s="478"/>
      <c r="J32" s="478"/>
      <c r="K32" s="603"/>
      <c r="L32" s="478"/>
      <c r="M32" s="478"/>
      <c r="N32" s="478" t="s">
        <v>10</v>
      </c>
      <c r="O32" s="469"/>
    </row>
    <row r="33" spans="2:31" ht="12.75" customHeight="1">
      <c r="B33" s="15"/>
      <c r="C33" s="15"/>
      <c r="D33" s="15"/>
      <c r="E33" s="15"/>
      <c r="F33" s="15"/>
      <c r="G33" s="15"/>
      <c r="H33" s="15"/>
      <c r="I33" s="15"/>
      <c r="J33" s="15"/>
      <c r="K33" s="15"/>
      <c r="L33" s="15"/>
      <c r="M33" s="15"/>
      <c r="N33" s="15"/>
      <c r="O33" s="15"/>
      <c r="P33" s="15"/>
      <c r="Q33" s="15"/>
      <c r="R33" s="667"/>
      <c r="S33" s="667"/>
      <c r="T33" s="667"/>
      <c r="U33" s="667"/>
      <c r="V33" s="667"/>
      <c r="W33" s="16"/>
      <c r="X33" s="16"/>
      <c r="Y33" s="16"/>
      <c r="Z33" s="16"/>
      <c r="AD33" s="16"/>
      <c r="AE33" s="16"/>
    </row>
    <row r="34" spans="1:31" ht="12.75" customHeight="1">
      <c r="A34" s="15" t="s">
        <v>11</v>
      </c>
      <c r="B34" s="86"/>
      <c r="C34" s="86"/>
      <c r="D34" s="86"/>
      <c r="E34" s="86"/>
      <c r="F34" s="86"/>
      <c r="G34" s="86"/>
      <c r="H34" s="86"/>
      <c r="I34" s="86"/>
      <c r="J34" s="86"/>
      <c r="K34" s="86"/>
      <c r="L34" s="86"/>
      <c r="M34" s="86"/>
      <c r="N34" s="86"/>
      <c r="O34" s="86"/>
      <c r="P34" s="86"/>
      <c r="Q34" s="86"/>
      <c r="R34" s="667" t="s">
        <v>819</v>
      </c>
      <c r="S34" s="667"/>
      <c r="T34" s="667"/>
      <c r="U34" s="667"/>
      <c r="V34" s="667"/>
      <c r="W34" s="86"/>
      <c r="X34" s="86"/>
      <c r="Y34" s="86"/>
      <c r="Z34" s="86"/>
      <c r="AA34" s="86"/>
      <c r="AB34" s="86"/>
      <c r="AC34" s="86"/>
      <c r="AD34" s="16"/>
      <c r="AE34" s="16"/>
    </row>
    <row r="35" spans="2:36" ht="12.75" customHeight="1">
      <c r="B35" s="86"/>
      <c r="C35" s="86"/>
      <c r="D35" s="86"/>
      <c r="E35" s="86"/>
      <c r="F35" s="86"/>
      <c r="G35" s="86"/>
      <c r="H35" s="86"/>
      <c r="I35" s="86"/>
      <c r="J35" s="86"/>
      <c r="K35" s="86"/>
      <c r="L35" s="86"/>
      <c r="M35" s="86"/>
      <c r="N35" s="86"/>
      <c r="O35" s="86"/>
      <c r="P35" s="86"/>
      <c r="Q35" s="86"/>
      <c r="R35" s="667" t="s">
        <v>488</v>
      </c>
      <c r="S35" s="667"/>
      <c r="T35" s="667"/>
      <c r="U35" s="667"/>
      <c r="V35" s="667"/>
      <c r="W35" s="121"/>
      <c r="X35" s="121"/>
      <c r="Y35" s="121"/>
      <c r="Z35" s="121"/>
      <c r="AA35" s="121"/>
      <c r="AB35" s="121"/>
      <c r="AC35" s="121"/>
      <c r="AD35" s="121"/>
      <c r="AE35" s="121"/>
      <c r="AF35" s="121"/>
      <c r="AG35" s="121"/>
      <c r="AH35" s="121"/>
      <c r="AI35" s="121"/>
      <c r="AJ35" s="121"/>
    </row>
    <row r="36" spans="1:31" ht="12.75">
      <c r="A36" s="15"/>
      <c r="B36" s="15"/>
      <c r="C36" s="15" t="s">
        <v>10</v>
      </c>
      <c r="D36" s="15"/>
      <c r="E36" s="15"/>
      <c r="F36" s="15"/>
      <c r="G36" s="15"/>
      <c r="H36" s="15"/>
      <c r="I36" s="15"/>
      <c r="J36" s="15"/>
      <c r="K36" s="15"/>
      <c r="L36" s="15"/>
      <c r="M36" s="15"/>
      <c r="N36" s="15"/>
      <c r="O36" s="15"/>
      <c r="P36" s="15"/>
      <c r="Q36" s="15"/>
      <c r="R36" s="15"/>
      <c r="S36" s="1" t="s">
        <v>80</v>
      </c>
      <c r="T36" s="1"/>
      <c r="U36" s="1"/>
      <c r="V36" s="1"/>
      <c r="W36" s="15"/>
      <c r="X36" s="15"/>
      <c r="Y36" s="15"/>
      <c r="AD36" s="15"/>
      <c r="AE36" s="15"/>
    </row>
  </sheetData>
  <sheetProtection/>
  <mergeCells count="22">
    <mergeCell ref="T2:V2"/>
    <mergeCell ref="R34:V34"/>
    <mergeCell ref="R35:V35"/>
    <mergeCell ref="R33:V33"/>
    <mergeCell ref="A10:A12"/>
    <mergeCell ref="B10:B12"/>
    <mergeCell ref="O11:R11"/>
    <mergeCell ref="G10:R10"/>
    <mergeCell ref="S10:V11"/>
    <mergeCell ref="G2:O2"/>
    <mergeCell ref="A7:C7"/>
    <mergeCell ref="A3:V3"/>
    <mergeCell ref="A4:V4"/>
    <mergeCell ref="A6:V6"/>
    <mergeCell ref="B30:V30"/>
    <mergeCell ref="B31:V31"/>
    <mergeCell ref="X16:AA16"/>
    <mergeCell ref="AA9:AC9"/>
    <mergeCell ref="C10:F11"/>
    <mergeCell ref="G11:J11"/>
    <mergeCell ref="K11:N11"/>
    <mergeCell ref="U9:V9"/>
  </mergeCells>
  <printOptions horizontalCentered="1"/>
  <pageMargins left="0.708661417322835" right="0.24" top="1.64" bottom="0" header="1.4" footer="0.31496062992126"/>
  <pageSetup fitToHeight="1" fitToWidth="1" horizontalDpi="600" verticalDpi="600" orientation="landscape" paperSize="9" scale="67" r:id="rId1"/>
  <colBreaks count="1" manualBreakCount="1">
    <brk id="22"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1:Q27"/>
  <sheetViews>
    <sheetView view="pageBreakPreview" zoomScaleSheetLayoutView="100" zoomScalePageLayoutView="0" workbookViewId="0" topLeftCell="A1">
      <selection activeCell="Q21" sqref="Q21"/>
    </sheetView>
  </sheetViews>
  <sheetFormatPr defaultColWidth="9.140625" defaultRowHeight="12.75"/>
  <cols>
    <col min="1" max="1" width="2.7109375" style="188" customWidth="1"/>
    <col min="2" max="2" width="5.8515625" style="188" customWidth="1"/>
    <col min="3" max="3" width="10.8515625" style="188" customWidth="1"/>
    <col min="4" max="4" width="11.421875" style="188" customWidth="1"/>
    <col min="5" max="5" width="14.7109375" style="188" customWidth="1"/>
    <col min="6" max="13" width="8.7109375" style="188" customWidth="1"/>
    <col min="14" max="15" width="9.7109375" style="188" customWidth="1"/>
    <col min="16" max="17" width="10.00390625" style="188" customWidth="1"/>
    <col min="18" max="16384" width="9.140625" style="188" customWidth="1"/>
  </cols>
  <sheetData>
    <row r="1" spans="1:17" ht="12.75">
      <c r="A1" s="188" t="s">
        <v>10</v>
      </c>
      <c r="L1" s="939"/>
      <c r="M1" s="939"/>
      <c r="P1" s="940" t="s">
        <v>726</v>
      </c>
      <c r="Q1" s="940"/>
    </row>
    <row r="2" spans="1:17" s="191" customFormat="1" ht="15.75">
      <c r="A2" s="791" t="s">
        <v>0</v>
      </c>
      <c r="B2" s="791"/>
      <c r="C2" s="791"/>
      <c r="D2" s="791"/>
      <c r="E2" s="791"/>
      <c r="F2" s="791"/>
      <c r="G2" s="791"/>
      <c r="H2" s="791"/>
      <c r="I2" s="791"/>
      <c r="J2" s="791"/>
      <c r="K2" s="791"/>
      <c r="L2" s="791"/>
      <c r="M2" s="791"/>
      <c r="N2" s="791"/>
      <c r="O2" s="791"/>
      <c r="P2" s="791"/>
      <c r="Q2" s="791"/>
    </row>
    <row r="3" spans="1:17" s="191" customFormat="1" ht="20.25" customHeight="1">
      <c r="A3" s="792" t="s">
        <v>854</v>
      </c>
      <c r="B3" s="792"/>
      <c r="C3" s="792"/>
      <c r="D3" s="792"/>
      <c r="E3" s="792"/>
      <c r="F3" s="792"/>
      <c r="G3" s="792"/>
      <c r="H3" s="792"/>
      <c r="I3" s="792"/>
      <c r="J3" s="792"/>
      <c r="K3" s="792"/>
      <c r="L3" s="792"/>
      <c r="M3" s="792"/>
      <c r="N3" s="792"/>
      <c r="O3" s="792"/>
      <c r="P3" s="792"/>
      <c r="Q3" s="792"/>
    </row>
    <row r="5" spans="1:17" s="191" customFormat="1" ht="15.75">
      <c r="A5" s="790" t="s">
        <v>926</v>
      </c>
      <c r="B5" s="790"/>
      <c r="C5" s="790"/>
      <c r="D5" s="790"/>
      <c r="E5" s="790"/>
      <c r="F5" s="790"/>
      <c r="G5" s="790"/>
      <c r="H5" s="790"/>
      <c r="I5" s="790"/>
      <c r="J5" s="790"/>
      <c r="K5" s="790"/>
      <c r="L5" s="790"/>
      <c r="M5" s="790"/>
      <c r="N5" s="790"/>
      <c r="O5" s="852"/>
      <c r="P5" s="852"/>
      <c r="Q5" s="852"/>
    </row>
    <row r="7" spans="2:14" ht="12.75">
      <c r="B7" s="193" t="s">
        <v>475</v>
      </c>
      <c r="C7" s="193"/>
      <c r="D7" s="193"/>
      <c r="E7" s="193"/>
      <c r="F7" s="193"/>
      <c r="G7" s="193"/>
      <c r="H7" s="193"/>
      <c r="I7" s="193"/>
      <c r="J7" s="193"/>
      <c r="K7" s="193"/>
      <c r="L7" s="193"/>
      <c r="M7" s="193"/>
      <c r="N7" s="193"/>
    </row>
    <row r="9" spans="1:17" s="194" customFormat="1" ht="15" customHeight="1">
      <c r="A9" s="188"/>
      <c r="B9" s="188"/>
      <c r="C9" s="188"/>
      <c r="D9" s="188"/>
      <c r="E9" s="188"/>
      <c r="F9" s="188"/>
      <c r="G9" s="188"/>
      <c r="H9" s="188"/>
      <c r="I9" s="188"/>
      <c r="J9" s="188"/>
      <c r="K9" s="188"/>
      <c r="L9" s="188"/>
      <c r="M9" s="188"/>
      <c r="N9" s="188"/>
      <c r="O9" s="754" t="s">
        <v>856</v>
      </c>
      <c r="P9" s="754"/>
      <c r="Q9" s="754"/>
    </row>
    <row r="10" spans="1:17" s="353" customFormat="1" ht="20.25" customHeight="1">
      <c r="A10" s="352"/>
      <c r="B10" s="846" t="s">
        <v>2</v>
      </c>
      <c r="C10" s="846" t="s">
        <v>3</v>
      </c>
      <c r="D10" s="853" t="s">
        <v>272</v>
      </c>
      <c r="E10" s="853" t="s">
        <v>273</v>
      </c>
      <c r="F10" s="936" t="s">
        <v>274</v>
      </c>
      <c r="G10" s="937"/>
      <c r="H10" s="937"/>
      <c r="I10" s="937"/>
      <c r="J10" s="937"/>
      <c r="K10" s="937"/>
      <c r="L10" s="937"/>
      <c r="M10" s="937"/>
      <c r="N10" s="937"/>
      <c r="O10" s="937"/>
      <c r="P10" s="937"/>
      <c r="Q10" s="938"/>
    </row>
    <row r="11" spans="1:17" s="353" customFormat="1" ht="35.25" customHeight="1">
      <c r="A11" s="354"/>
      <c r="B11" s="847"/>
      <c r="C11" s="847"/>
      <c r="D11" s="854"/>
      <c r="E11" s="854"/>
      <c r="F11" s="355" t="s">
        <v>957</v>
      </c>
      <c r="G11" s="355" t="s">
        <v>275</v>
      </c>
      <c r="H11" s="355" t="s">
        <v>276</v>
      </c>
      <c r="I11" s="355" t="s">
        <v>277</v>
      </c>
      <c r="J11" s="355" t="s">
        <v>278</v>
      </c>
      <c r="K11" s="355" t="s">
        <v>279</v>
      </c>
      <c r="L11" s="355" t="s">
        <v>280</v>
      </c>
      <c r="M11" s="355" t="s">
        <v>281</v>
      </c>
      <c r="N11" s="355" t="s">
        <v>958</v>
      </c>
      <c r="O11" s="205" t="s">
        <v>959</v>
      </c>
      <c r="P11" s="205" t="s">
        <v>960</v>
      </c>
      <c r="Q11" s="205" t="s">
        <v>961</v>
      </c>
    </row>
    <row r="12" spans="2:17" s="194" customFormat="1" ht="12.75" customHeight="1">
      <c r="B12" s="197">
        <v>1</v>
      </c>
      <c r="C12" s="197">
        <v>2</v>
      </c>
      <c r="D12" s="197">
        <v>3</v>
      </c>
      <c r="E12" s="197">
        <v>4</v>
      </c>
      <c r="F12" s="197">
        <v>5</v>
      </c>
      <c r="G12" s="197">
        <v>6</v>
      </c>
      <c r="H12" s="197">
        <v>7</v>
      </c>
      <c r="I12" s="197">
        <v>8</v>
      </c>
      <c r="J12" s="197">
        <v>9</v>
      </c>
      <c r="K12" s="197">
        <v>10</v>
      </c>
      <c r="L12" s="197">
        <v>11</v>
      </c>
      <c r="M12" s="197">
        <v>12</v>
      </c>
      <c r="N12" s="197">
        <v>13</v>
      </c>
      <c r="O12" s="197">
        <v>14</v>
      </c>
      <c r="P12" s="197">
        <v>15</v>
      </c>
      <c r="Q12" s="197">
        <v>16</v>
      </c>
    </row>
    <row r="13" spans="2:17" ht="12.75">
      <c r="B13" s="8">
        <v>1</v>
      </c>
      <c r="C13" s="19" t="s">
        <v>476</v>
      </c>
      <c r="D13" s="442">
        <f>'AT-3'!G9</f>
        <v>917</v>
      </c>
      <c r="E13" s="442">
        <f aca="true" t="shared" si="0" ref="E13:Q13">D13</f>
        <v>917</v>
      </c>
      <c r="F13" s="442">
        <f t="shared" si="0"/>
        <v>917</v>
      </c>
      <c r="G13" s="442">
        <f t="shared" si="0"/>
        <v>917</v>
      </c>
      <c r="H13" s="442">
        <f t="shared" si="0"/>
        <v>917</v>
      </c>
      <c r="I13" s="442">
        <f t="shared" si="0"/>
        <v>917</v>
      </c>
      <c r="J13" s="442">
        <f t="shared" si="0"/>
        <v>917</v>
      </c>
      <c r="K13" s="442">
        <f t="shared" si="0"/>
        <v>917</v>
      </c>
      <c r="L13" s="442">
        <f t="shared" si="0"/>
        <v>917</v>
      </c>
      <c r="M13" s="442">
        <f t="shared" si="0"/>
        <v>917</v>
      </c>
      <c r="N13" s="442">
        <f t="shared" si="0"/>
        <v>917</v>
      </c>
      <c r="O13" s="442">
        <f t="shared" si="0"/>
        <v>917</v>
      </c>
      <c r="P13" s="442">
        <f t="shared" si="0"/>
        <v>917</v>
      </c>
      <c r="Q13" s="442">
        <f t="shared" si="0"/>
        <v>917</v>
      </c>
    </row>
    <row r="14" spans="1:17" ht="14.25">
      <c r="A14" s="199"/>
      <c r="B14" s="8">
        <v>2</v>
      </c>
      <c r="C14" s="19" t="s">
        <v>477</v>
      </c>
      <c r="D14" s="442">
        <f>'AT-3'!G10</f>
        <v>875</v>
      </c>
      <c r="E14" s="442">
        <f aca="true" t="shared" si="1" ref="E14:F20">D14</f>
        <v>875</v>
      </c>
      <c r="F14" s="442">
        <f t="shared" si="1"/>
        <v>875</v>
      </c>
      <c r="G14" s="442">
        <f aca="true" t="shared" si="2" ref="G14:Q14">F14</f>
        <v>875</v>
      </c>
      <c r="H14" s="442">
        <f t="shared" si="2"/>
        <v>875</v>
      </c>
      <c r="I14" s="442">
        <f t="shared" si="2"/>
        <v>875</v>
      </c>
      <c r="J14" s="442">
        <f t="shared" si="2"/>
        <v>875</v>
      </c>
      <c r="K14" s="442">
        <f t="shared" si="2"/>
        <v>875</v>
      </c>
      <c r="L14" s="442">
        <f t="shared" si="2"/>
        <v>875</v>
      </c>
      <c r="M14" s="442">
        <f t="shared" si="2"/>
        <v>875</v>
      </c>
      <c r="N14" s="442">
        <f t="shared" si="2"/>
        <v>875</v>
      </c>
      <c r="O14" s="442">
        <f t="shared" si="2"/>
        <v>875</v>
      </c>
      <c r="P14" s="442">
        <f t="shared" si="2"/>
        <v>875</v>
      </c>
      <c r="Q14" s="442">
        <f t="shared" si="2"/>
        <v>875</v>
      </c>
    </row>
    <row r="15" spans="2:17" ht="12.75">
      <c r="B15" s="8">
        <v>3</v>
      </c>
      <c r="C15" s="19" t="s">
        <v>478</v>
      </c>
      <c r="D15" s="442">
        <f>'AT-3'!G11</f>
        <v>668</v>
      </c>
      <c r="E15" s="442">
        <f t="shared" si="1"/>
        <v>668</v>
      </c>
      <c r="F15" s="442">
        <f t="shared" si="1"/>
        <v>668</v>
      </c>
      <c r="G15" s="442">
        <f aca="true" t="shared" si="3" ref="G15:Q15">F15</f>
        <v>668</v>
      </c>
      <c r="H15" s="442">
        <f t="shared" si="3"/>
        <v>668</v>
      </c>
      <c r="I15" s="442">
        <f t="shared" si="3"/>
        <v>668</v>
      </c>
      <c r="J15" s="442">
        <f t="shared" si="3"/>
        <v>668</v>
      </c>
      <c r="K15" s="442">
        <f t="shared" si="3"/>
        <v>668</v>
      </c>
      <c r="L15" s="442">
        <f t="shared" si="3"/>
        <v>668</v>
      </c>
      <c r="M15" s="442">
        <f t="shared" si="3"/>
        <v>668</v>
      </c>
      <c r="N15" s="442">
        <f t="shared" si="3"/>
        <v>668</v>
      </c>
      <c r="O15" s="442">
        <f t="shared" si="3"/>
        <v>668</v>
      </c>
      <c r="P15" s="442">
        <f t="shared" si="3"/>
        <v>668</v>
      </c>
      <c r="Q15" s="442">
        <f t="shared" si="3"/>
        <v>668</v>
      </c>
    </row>
    <row r="16" spans="2:17" s="133" customFormat="1" ht="12.75" customHeight="1">
      <c r="B16" s="8">
        <v>4</v>
      </c>
      <c r="C16" s="19" t="s">
        <v>479</v>
      </c>
      <c r="D16" s="442">
        <f>'AT-3'!G12</f>
        <v>810</v>
      </c>
      <c r="E16" s="442">
        <f t="shared" si="1"/>
        <v>810</v>
      </c>
      <c r="F16" s="442">
        <f t="shared" si="1"/>
        <v>810</v>
      </c>
      <c r="G16" s="442">
        <f aca="true" t="shared" si="4" ref="G16:Q16">F16</f>
        <v>810</v>
      </c>
      <c r="H16" s="442">
        <f t="shared" si="4"/>
        <v>810</v>
      </c>
      <c r="I16" s="442">
        <f t="shared" si="4"/>
        <v>810</v>
      </c>
      <c r="J16" s="442">
        <f t="shared" si="4"/>
        <v>810</v>
      </c>
      <c r="K16" s="442">
        <f t="shared" si="4"/>
        <v>810</v>
      </c>
      <c r="L16" s="442">
        <f t="shared" si="4"/>
        <v>810</v>
      </c>
      <c r="M16" s="442">
        <f t="shared" si="4"/>
        <v>810</v>
      </c>
      <c r="N16" s="442">
        <f t="shared" si="4"/>
        <v>810</v>
      </c>
      <c r="O16" s="442">
        <f t="shared" si="4"/>
        <v>810</v>
      </c>
      <c r="P16" s="442">
        <f t="shared" si="4"/>
        <v>810</v>
      </c>
      <c r="Q16" s="442">
        <f t="shared" si="4"/>
        <v>810</v>
      </c>
    </row>
    <row r="17" spans="2:17" s="133" customFormat="1" ht="12.75" customHeight="1">
      <c r="B17" s="8">
        <v>5</v>
      </c>
      <c r="C17" s="19" t="s">
        <v>480</v>
      </c>
      <c r="D17" s="442">
        <f>'AT-3'!G13</f>
        <v>925</v>
      </c>
      <c r="E17" s="442">
        <f t="shared" si="1"/>
        <v>925</v>
      </c>
      <c r="F17" s="442">
        <f t="shared" si="1"/>
        <v>925</v>
      </c>
      <c r="G17" s="442">
        <f aca="true" t="shared" si="5" ref="G17:Q17">F17</f>
        <v>925</v>
      </c>
      <c r="H17" s="442">
        <f t="shared" si="5"/>
        <v>925</v>
      </c>
      <c r="I17" s="442">
        <f t="shared" si="5"/>
        <v>925</v>
      </c>
      <c r="J17" s="442">
        <f t="shared" si="5"/>
        <v>925</v>
      </c>
      <c r="K17" s="442">
        <f t="shared" si="5"/>
        <v>925</v>
      </c>
      <c r="L17" s="442">
        <f t="shared" si="5"/>
        <v>925</v>
      </c>
      <c r="M17" s="442">
        <f t="shared" si="5"/>
        <v>925</v>
      </c>
      <c r="N17" s="442">
        <f t="shared" si="5"/>
        <v>925</v>
      </c>
      <c r="O17" s="442">
        <f t="shared" si="5"/>
        <v>925</v>
      </c>
      <c r="P17" s="442">
        <f t="shared" si="5"/>
        <v>925</v>
      </c>
      <c r="Q17" s="442">
        <f t="shared" si="5"/>
        <v>925</v>
      </c>
    </row>
    <row r="18" spans="1:17" s="133" customFormat="1" ht="12.75" customHeight="1">
      <c r="A18" s="201" t="s">
        <v>282</v>
      </c>
      <c r="B18" s="8">
        <v>6</v>
      </c>
      <c r="C18" s="19" t="s">
        <v>481</v>
      </c>
      <c r="D18" s="442">
        <f>'AT-3'!G14</f>
        <v>475</v>
      </c>
      <c r="E18" s="442">
        <f t="shared" si="1"/>
        <v>475</v>
      </c>
      <c r="F18" s="442">
        <f t="shared" si="1"/>
        <v>475</v>
      </c>
      <c r="G18" s="442">
        <f aca="true" t="shared" si="6" ref="G18:Q18">F18</f>
        <v>475</v>
      </c>
      <c r="H18" s="442">
        <f t="shared" si="6"/>
        <v>475</v>
      </c>
      <c r="I18" s="442">
        <f t="shared" si="6"/>
        <v>475</v>
      </c>
      <c r="J18" s="442">
        <f t="shared" si="6"/>
        <v>475</v>
      </c>
      <c r="K18" s="442">
        <f t="shared" si="6"/>
        <v>475</v>
      </c>
      <c r="L18" s="442">
        <f t="shared" si="6"/>
        <v>475</v>
      </c>
      <c r="M18" s="442">
        <f t="shared" si="6"/>
        <v>475</v>
      </c>
      <c r="N18" s="442">
        <f t="shared" si="6"/>
        <v>475</v>
      </c>
      <c r="O18" s="442">
        <f t="shared" si="6"/>
        <v>475</v>
      </c>
      <c r="P18" s="442">
        <f t="shared" si="6"/>
        <v>475</v>
      </c>
      <c r="Q18" s="442">
        <f t="shared" si="6"/>
        <v>475</v>
      </c>
    </row>
    <row r="19" spans="2:17" ht="12.75" customHeight="1">
      <c r="B19" s="8">
        <v>7</v>
      </c>
      <c r="C19" s="19" t="s">
        <v>482</v>
      </c>
      <c r="D19" s="442">
        <f>'AT-3'!G15</f>
        <v>719</v>
      </c>
      <c r="E19" s="442">
        <f t="shared" si="1"/>
        <v>719</v>
      </c>
      <c r="F19" s="442">
        <f t="shared" si="1"/>
        <v>719</v>
      </c>
      <c r="G19" s="442">
        <f aca="true" t="shared" si="7" ref="G19:Q19">F19</f>
        <v>719</v>
      </c>
      <c r="H19" s="442">
        <f t="shared" si="7"/>
        <v>719</v>
      </c>
      <c r="I19" s="442">
        <f t="shared" si="7"/>
        <v>719</v>
      </c>
      <c r="J19" s="442">
        <f t="shared" si="7"/>
        <v>719</v>
      </c>
      <c r="K19" s="442">
        <f t="shared" si="7"/>
        <v>719</v>
      </c>
      <c r="L19" s="442">
        <f t="shared" si="7"/>
        <v>719</v>
      </c>
      <c r="M19" s="442">
        <f t="shared" si="7"/>
        <v>719</v>
      </c>
      <c r="N19" s="442">
        <f t="shared" si="7"/>
        <v>719</v>
      </c>
      <c r="O19" s="442">
        <f t="shared" si="7"/>
        <v>719</v>
      </c>
      <c r="P19" s="442">
        <f t="shared" si="7"/>
        <v>719</v>
      </c>
      <c r="Q19" s="442">
        <f t="shared" si="7"/>
        <v>719</v>
      </c>
    </row>
    <row r="20" spans="2:17" ht="12.75">
      <c r="B20" s="8">
        <v>8</v>
      </c>
      <c r="C20" s="19" t="s">
        <v>483</v>
      </c>
      <c r="D20" s="442">
        <f>'AT-3'!G16</f>
        <v>1140</v>
      </c>
      <c r="E20" s="442">
        <f t="shared" si="1"/>
        <v>1140</v>
      </c>
      <c r="F20" s="442">
        <f t="shared" si="1"/>
        <v>1140</v>
      </c>
      <c r="G20" s="442">
        <f aca="true" t="shared" si="8" ref="G20:Q20">F20</f>
        <v>1140</v>
      </c>
      <c r="H20" s="442">
        <f t="shared" si="8"/>
        <v>1140</v>
      </c>
      <c r="I20" s="442">
        <f t="shared" si="8"/>
        <v>1140</v>
      </c>
      <c r="J20" s="442">
        <f t="shared" si="8"/>
        <v>1140</v>
      </c>
      <c r="K20" s="442">
        <f t="shared" si="8"/>
        <v>1140</v>
      </c>
      <c r="L20" s="442">
        <f t="shared" si="8"/>
        <v>1140</v>
      </c>
      <c r="M20" s="442">
        <f t="shared" si="8"/>
        <v>1140</v>
      </c>
      <c r="N20" s="442">
        <f t="shared" si="8"/>
        <v>1140</v>
      </c>
      <c r="O20" s="442">
        <f t="shared" si="8"/>
        <v>1140</v>
      </c>
      <c r="P20" s="442">
        <f t="shared" si="8"/>
        <v>1140</v>
      </c>
      <c r="Q20" s="442">
        <f t="shared" si="8"/>
        <v>1140</v>
      </c>
    </row>
    <row r="21" spans="2:17" ht="12.75">
      <c r="B21" s="3"/>
      <c r="C21" s="27" t="s">
        <v>484</v>
      </c>
      <c r="D21" s="137">
        <f>SUM(D13:D20)</f>
        <v>6529</v>
      </c>
      <c r="E21" s="137">
        <f aca="true" t="shared" si="9" ref="E21:Q21">SUM(E13:E20)</f>
        <v>6529</v>
      </c>
      <c r="F21" s="137">
        <f t="shared" si="9"/>
        <v>6529</v>
      </c>
      <c r="G21" s="137">
        <f t="shared" si="9"/>
        <v>6529</v>
      </c>
      <c r="H21" s="137">
        <f t="shared" si="9"/>
        <v>6529</v>
      </c>
      <c r="I21" s="137">
        <f t="shared" si="9"/>
        <v>6529</v>
      </c>
      <c r="J21" s="137">
        <f t="shared" si="9"/>
        <v>6529</v>
      </c>
      <c r="K21" s="137">
        <f t="shared" si="9"/>
        <v>6529</v>
      </c>
      <c r="L21" s="137">
        <f t="shared" si="9"/>
        <v>6529</v>
      </c>
      <c r="M21" s="137">
        <f t="shared" si="9"/>
        <v>6529</v>
      </c>
      <c r="N21" s="137">
        <f t="shared" si="9"/>
        <v>6529</v>
      </c>
      <c r="O21" s="137">
        <f t="shared" si="9"/>
        <v>6529</v>
      </c>
      <c r="P21" s="137">
        <f t="shared" si="9"/>
        <v>6529</v>
      </c>
      <c r="Q21" s="137">
        <f t="shared" si="9"/>
        <v>6529</v>
      </c>
    </row>
    <row r="24" spans="12:17" ht="12.75">
      <c r="L24" s="743"/>
      <c r="M24" s="743"/>
      <c r="N24" s="743"/>
      <c r="O24" s="743"/>
      <c r="P24" s="743"/>
      <c r="Q24" s="743"/>
    </row>
    <row r="25" spans="12:17" ht="12.75">
      <c r="L25" s="743" t="s">
        <v>819</v>
      </c>
      <c r="M25" s="743"/>
      <c r="N25" s="743"/>
      <c r="O25" s="743"/>
      <c r="P25" s="743"/>
      <c r="Q25" s="743"/>
    </row>
    <row r="26" spans="12:17" ht="12.75">
      <c r="L26" s="743" t="s">
        <v>487</v>
      </c>
      <c r="M26" s="743"/>
      <c r="N26" s="743"/>
      <c r="O26" s="743"/>
      <c r="P26" s="743"/>
      <c r="Q26" s="743"/>
    </row>
    <row r="27" spans="2:15" ht="12.75">
      <c r="B27" s="188" t="s">
        <v>11</v>
      </c>
      <c r="L27" s="939" t="s">
        <v>80</v>
      </c>
      <c r="M27" s="939"/>
      <c r="N27" s="939"/>
      <c r="O27" s="939"/>
    </row>
  </sheetData>
  <sheetProtection/>
  <mergeCells count="15">
    <mergeCell ref="L1:M1"/>
    <mergeCell ref="A2:Q2"/>
    <mergeCell ref="A3:Q3"/>
    <mergeCell ref="A5:Q5"/>
    <mergeCell ref="O9:Q9"/>
    <mergeCell ref="P1:Q1"/>
    <mergeCell ref="F10:Q10"/>
    <mergeCell ref="L24:Q24"/>
    <mergeCell ref="L25:Q25"/>
    <mergeCell ref="L26:Q26"/>
    <mergeCell ref="L27:O27"/>
    <mergeCell ref="B10:B11"/>
    <mergeCell ref="C10:C11"/>
    <mergeCell ref="D10:D11"/>
    <mergeCell ref="E10:E11"/>
  </mergeCells>
  <printOptions horizontalCentered="1"/>
  <pageMargins left="0.7086614173228347" right="0.19" top="1.54" bottom="0" header="1.21" footer="0.31496062992125984"/>
  <pageSetup fitToHeight="1" fitToWidth="1" horizontalDpi="600" verticalDpi="600" orientation="landscape" paperSize="9" scale="90" r:id="rId1"/>
</worksheet>
</file>

<file path=xl/worksheets/sheet51.xml><?xml version="1.0" encoding="utf-8"?>
<worksheet xmlns="http://schemas.openxmlformats.org/spreadsheetml/2006/main" xmlns:r="http://schemas.openxmlformats.org/officeDocument/2006/relationships">
  <dimension ref="A1:P35"/>
  <sheetViews>
    <sheetView zoomScalePageLayoutView="0" workbookViewId="0" topLeftCell="A1">
      <selection activeCell="A13" sqref="A13:A14"/>
    </sheetView>
  </sheetViews>
  <sheetFormatPr defaultColWidth="9.140625" defaultRowHeight="12.75"/>
  <cols>
    <col min="1" max="1" width="4.00390625" style="0" customWidth="1"/>
    <col min="2" max="2" width="10.00390625" style="0" customWidth="1"/>
    <col min="3" max="3" width="12.00390625" style="0" customWidth="1"/>
    <col min="4" max="4" width="15.57421875" style="0" customWidth="1"/>
    <col min="5" max="5" width="10.140625" style="0" customWidth="1"/>
    <col min="6" max="6" width="8.421875" style="0" customWidth="1"/>
    <col min="7" max="7" width="8.7109375" style="0" customWidth="1"/>
    <col min="8" max="8" width="8.140625" style="0" customWidth="1"/>
    <col min="9" max="9" width="7.57421875" style="0" customWidth="1"/>
    <col min="10" max="10" width="7.00390625" style="0" customWidth="1"/>
    <col min="11" max="11" width="6.8515625" style="0" customWidth="1"/>
    <col min="12" max="12" width="6.7109375" style="0" customWidth="1"/>
    <col min="13" max="13" width="9.421875" style="0" customWidth="1"/>
    <col min="14" max="14" width="9.421875" style="0" bestFit="1" customWidth="1"/>
    <col min="15" max="16" width="10.00390625" style="0" customWidth="1"/>
  </cols>
  <sheetData>
    <row r="1" spans="11:16" s="188" customFormat="1" ht="12.75">
      <c r="K1" s="939"/>
      <c r="L1" s="939"/>
      <c r="O1" s="940" t="s">
        <v>727</v>
      </c>
      <c r="P1" s="940"/>
    </row>
    <row r="2" spans="1:16" s="188" customFormat="1" ht="12.75">
      <c r="A2" s="939" t="s">
        <v>728</v>
      </c>
      <c r="B2" s="939"/>
      <c r="C2" s="939"/>
      <c r="D2" s="939"/>
      <c r="E2" s="939"/>
      <c r="F2" s="939"/>
      <c r="G2" s="939"/>
      <c r="H2" s="939"/>
      <c r="I2" s="939"/>
      <c r="J2" s="939"/>
      <c r="K2" s="939"/>
      <c r="L2" s="939"/>
      <c r="M2" s="939"/>
      <c r="N2" s="939"/>
      <c r="O2" s="939"/>
      <c r="P2" s="939"/>
    </row>
    <row r="3" spans="1:16" s="191" customFormat="1" ht="15.75">
      <c r="A3" s="791" t="s">
        <v>854</v>
      </c>
      <c r="B3" s="791"/>
      <c r="C3" s="791"/>
      <c r="D3" s="791"/>
      <c r="E3" s="791"/>
      <c r="F3" s="791"/>
      <c r="G3" s="791"/>
      <c r="H3" s="791"/>
      <c r="I3" s="791"/>
      <c r="J3" s="791"/>
      <c r="K3" s="791"/>
      <c r="L3" s="791"/>
      <c r="M3" s="791"/>
      <c r="N3" s="791"/>
      <c r="O3" s="791"/>
      <c r="P3" s="791"/>
    </row>
    <row r="4" spans="1:16" s="191" customFormat="1" ht="6.75" customHeight="1">
      <c r="A4" s="502"/>
      <c r="B4" s="502"/>
      <c r="C4" s="502"/>
      <c r="D4" s="502"/>
      <c r="E4" s="502"/>
      <c r="F4" s="502"/>
      <c r="G4" s="502"/>
      <c r="H4" s="502"/>
      <c r="I4" s="502"/>
      <c r="J4" s="502"/>
      <c r="K4" s="502"/>
      <c r="L4" s="502"/>
      <c r="M4" s="502"/>
      <c r="N4" s="502"/>
      <c r="O4" s="502"/>
      <c r="P4" s="502"/>
    </row>
    <row r="5" spans="1:16" s="191" customFormat="1" ht="15.75">
      <c r="A5" s="941" t="s">
        <v>927</v>
      </c>
      <c r="B5" s="941"/>
      <c r="C5" s="941"/>
      <c r="D5" s="941"/>
      <c r="E5" s="941"/>
      <c r="F5" s="941"/>
      <c r="G5" s="941"/>
      <c r="H5" s="941"/>
      <c r="I5" s="941"/>
      <c r="J5" s="941"/>
      <c r="K5" s="941"/>
      <c r="L5" s="941"/>
      <c r="M5" s="941"/>
      <c r="N5" s="941"/>
      <c r="O5" s="941"/>
      <c r="P5" s="941"/>
    </row>
    <row r="6" s="188" customFormat="1" ht="8.25" customHeight="1"/>
    <row r="7" spans="1:13" s="188" customFormat="1" ht="12.75">
      <c r="A7" s="193" t="s">
        <v>475</v>
      </c>
      <c r="B7" s="193"/>
      <c r="C7" s="193"/>
      <c r="D7" s="193"/>
      <c r="E7" s="193"/>
      <c r="F7" s="193"/>
      <c r="G7" s="193"/>
      <c r="H7" s="193"/>
      <c r="I7" s="193"/>
      <c r="J7" s="193"/>
      <c r="K7" s="193"/>
      <c r="L7" s="193"/>
      <c r="M7" s="193"/>
    </row>
    <row r="8" spans="1:13" s="188" customFormat="1" ht="6" customHeight="1">
      <c r="A8" s="193"/>
      <c r="B8" s="193"/>
      <c r="C8" s="193"/>
      <c r="D8" s="193"/>
      <c r="E8" s="193"/>
      <c r="F8" s="193"/>
      <c r="G8" s="193"/>
      <c r="H8" s="193"/>
      <c r="I8" s="193"/>
      <c r="J8" s="193"/>
      <c r="K8" s="193"/>
      <c r="L8" s="193"/>
      <c r="M8" s="193"/>
    </row>
    <row r="9" spans="1:13" s="188" customFormat="1" ht="12.75">
      <c r="A9" s="942" t="s">
        <v>962</v>
      </c>
      <c r="B9" s="942"/>
      <c r="C9" s="942"/>
      <c r="D9" s="942"/>
      <c r="E9" s="942"/>
      <c r="F9" s="942"/>
      <c r="G9" s="157" t="s">
        <v>1004</v>
      </c>
      <c r="H9" s="193"/>
      <c r="I9" s="193"/>
      <c r="J9" s="193"/>
      <c r="K9" s="193"/>
      <c r="L9" s="193"/>
      <c r="M9" s="193"/>
    </row>
    <row r="10" spans="1:13" s="188" customFormat="1" ht="12.75">
      <c r="A10" s="942" t="s">
        <v>963</v>
      </c>
      <c r="B10" s="942"/>
      <c r="C10" s="942"/>
      <c r="D10" s="942"/>
      <c r="E10" s="942"/>
      <c r="F10" s="942"/>
      <c r="G10" s="157" t="s">
        <v>1040</v>
      </c>
      <c r="H10" s="193"/>
      <c r="I10" s="193"/>
      <c r="J10" s="193" t="s">
        <v>10</v>
      </c>
      <c r="K10" s="193"/>
      <c r="L10" s="193"/>
      <c r="M10" s="193"/>
    </row>
    <row r="11" spans="1:13" s="188" customFormat="1" ht="12.75">
      <c r="A11" s="356"/>
      <c r="B11" s="356"/>
      <c r="C11" s="356"/>
      <c r="D11" s="356"/>
      <c r="E11" s="356"/>
      <c r="F11" s="356"/>
      <c r="G11" s="193"/>
      <c r="H11" s="193"/>
      <c r="I11" s="193"/>
      <c r="J11" s="193"/>
      <c r="K11" s="193"/>
      <c r="L11" s="193"/>
      <c r="M11" s="193"/>
    </row>
    <row r="12" spans="1:16" s="194" customFormat="1" ht="15" customHeight="1">
      <c r="A12" s="188"/>
      <c r="B12" s="188"/>
      <c r="C12" s="188"/>
      <c r="D12" s="188"/>
      <c r="E12" s="188"/>
      <c r="F12" s="188"/>
      <c r="G12" s="188"/>
      <c r="H12" s="188"/>
      <c r="I12" s="188"/>
      <c r="J12" s="188"/>
      <c r="K12" s="188"/>
      <c r="L12" s="188"/>
      <c r="M12" s="188"/>
      <c r="N12" s="754" t="s">
        <v>856</v>
      </c>
      <c r="O12" s="754"/>
      <c r="P12" s="754"/>
    </row>
    <row r="13" spans="1:16" s="194" customFormat="1" ht="20.25" customHeight="1">
      <c r="A13" s="846" t="s">
        <v>489</v>
      </c>
      <c r="B13" s="846" t="s">
        <v>3</v>
      </c>
      <c r="C13" s="853" t="s">
        <v>272</v>
      </c>
      <c r="D13" s="853" t="s">
        <v>729</v>
      </c>
      <c r="E13" s="943" t="s">
        <v>803</v>
      </c>
      <c r="F13" s="944"/>
      <c r="G13" s="944"/>
      <c r="H13" s="944"/>
      <c r="I13" s="944"/>
      <c r="J13" s="944"/>
      <c r="K13" s="944"/>
      <c r="L13" s="944"/>
      <c r="M13" s="944"/>
      <c r="N13" s="944"/>
      <c r="O13" s="944"/>
      <c r="P13" s="945"/>
    </row>
    <row r="14" spans="1:16" s="194" customFormat="1" ht="50.25" customHeight="1">
      <c r="A14" s="847"/>
      <c r="B14" s="847"/>
      <c r="C14" s="854"/>
      <c r="D14" s="854"/>
      <c r="E14" s="355" t="s">
        <v>957</v>
      </c>
      <c r="F14" s="355" t="s">
        <v>275</v>
      </c>
      <c r="G14" s="355" t="s">
        <v>276</v>
      </c>
      <c r="H14" s="355" t="s">
        <v>277</v>
      </c>
      <c r="I14" s="355" t="s">
        <v>278</v>
      </c>
      <c r="J14" s="355" t="s">
        <v>279</v>
      </c>
      <c r="K14" s="355" t="s">
        <v>280</v>
      </c>
      <c r="L14" s="355" t="s">
        <v>281</v>
      </c>
      <c r="M14" s="355" t="s">
        <v>958</v>
      </c>
      <c r="N14" s="205" t="s">
        <v>959</v>
      </c>
      <c r="O14" s="205" t="s">
        <v>960</v>
      </c>
      <c r="P14" s="205" t="s">
        <v>961</v>
      </c>
    </row>
    <row r="15" spans="1:16" s="194" customFormat="1" ht="12.75" customHeight="1">
      <c r="A15" s="197">
        <v>1</v>
      </c>
      <c r="B15" s="197">
        <v>2</v>
      </c>
      <c r="C15" s="197">
        <v>3</v>
      </c>
      <c r="D15" s="197">
        <v>4</v>
      </c>
      <c r="E15" s="197">
        <v>5</v>
      </c>
      <c r="F15" s="197">
        <v>6</v>
      </c>
      <c r="G15" s="197">
        <v>7</v>
      </c>
      <c r="H15" s="197">
        <v>8</v>
      </c>
      <c r="I15" s="197">
        <v>9</v>
      </c>
      <c r="J15" s="197">
        <v>10</v>
      </c>
      <c r="K15" s="197">
        <v>11</v>
      </c>
      <c r="L15" s="197">
        <v>12</v>
      </c>
      <c r="M15" s="197">
        <v>13</v>
      </c>
      <c r="N15" s="197">
        <v>14</v>
      </c>
      <c r="O15" s="197">
        <v>15</v>
      </c>
      <c r="P15" s="197">
        <v>16</v>
      </c>
    </row>
    <row r="16" spans="1:16" s="188" customFormat="1" ht="16.5" customHeight="1">
      <c r="A16" s="8">
        <v>1</v>
      </c>
      <c r="B16" s="19" t="s">
        <v>476</v>
      </c>
      <c r="C16" s="442">
        <f>'AT-23'!D13</f>
        <v>917</v>
      </c>
      <c r="D16" s="442">
        <f>C16</f>
        <v>917</v>
      </c>
      <c r="E16" s="442">
        <v>684</v>
      </c>
      <c r="F16" s="442">
        <v>697</v>
      </c>
      <c r="G16" s="442">
        <v>492</v>
      </c>
      <c r="H16" s="442">
        <v>715</v>
      </c>
      <c r="I16" s="442">
        <v>814</v>
      </c>
      <c r="J16" s="442">
        <v>759</v>
      </c>
      <c r="K16" s="135">
        <v>741</v>
      </c>
      <c r="L16" s="135">
        <v>732</v>
      </c>
      <c r="M16" s="135">
        <v>355</v>
      </c>
      <c r="N16" s="135">
        <v>688</v>
      </c>
      <c r="O16" s="135">
        <v>728</v>
      </c>
      <c r="P16" s="135">
        <v>862</v>
      </c>
    </row>
    <row r="17" spans="1:16" s="188" customFormat="1" ht="16.5" customHeight="1">
      <c r="A17" s="8">
        <v>2</v>
      </c>
      <c r="B17" s="19" t="s">
        <v>477</v>
      </c>
      <c r="C17" s="442">
        <f>'AT-23'!D14</f>
        <v>875</v>
      </c>
      <c r="D17" s="442">
        <f aca="true" t="shared" si="0" ref="D17:D23">C17</f>
        <v>875</v>
      </c>
      <c r="E17" s="442">
        <v>621</v>
      </c>
      <c r="F17" s="442">
        <v>598</v>
      </c>
      <c r="G17" s="442">
        <v>666</v>
      </c>
      <c r="H17" s="442">
        <v>652</v>
      </c>
      <c r="I17" s="442">
        <v>597</v>
      </c>
      <c r="J17" s="442">
        <v>590</v>
      </c>
      <c r="K17" s="135">
        <v>555</v>
      </c>
      <c r="L17" s="135">
        <v>545</v>
      </c>
      <c r="M17" s="135">
        <v>332</v>
      </c>
      <c r="N17" s="135">
        <v>522</v>
      </c>
      <c r="O17" s="135">
        <v>573</v>
      </c>
      <c r="P17" s="135">
        <v>693</v>
      </c>
    </row>
    <row r="18" spans="1:16" s="188" customFormat="1" ht="16.5" customHeight="1">
      <c r="A18" s="8">
        <v>3</v>
      </c>
      <c r="B18" s="19" t="s">
        <v>478</v>
      </c>
      <c r="C18" s="442">
        <f>'AT-23'!D15</f>
        <v>668</v>
      </c>
      <c r="D18" s="442">
        <f t="shared" si="0"/>
        <v>668</v>
      </c>
      <c r="E18" s="442">
        <v>420</v>
      </c>
      <c r="F18" s="442">
        <v>418</v>
      </c>
      <c r="G18" s="442">
        <v>397</v>
      </c>
      <c r="H18" s="442">
        <v>451</v>
      </c>
      <c r="I18" s="442">
        <v>515</v>
      </c>
      <c r="J18" s="442">
        <v>514</v>
      </c>
      <c r="K18" s="135">
        <v>493</v>
      </c>
      <c r="L18" s="135">
        <v>468</v>
      </c>
      <c r="M18" s="135">
        <v>342</v>
      </c>
      <c r="N18" s="135">
        <v>478</v>
      </c>
      <c r="O18" s="135">
        <v>543</v>
      </c>
      <c r="P18" s="135">
        <v>598</v>
      </c>
    </row>
    <row r="19" spans="1:16" s="133" customFormat="1" ht="16.5" customHeight="1">
      <c r="A19" s="8">
        <v>4</v>
      </c>
      <c r="B19" s="19" t="s">
        <v>479</v>
      </c>
      <c r="C19" s="442">
        <f>'AT-23'!D16</f>
        <v>810</v>
      </c>
      <c r="D19" s="442">
        <f t="shared" si="0"/>
        <v>810</v>
      </c>
      <c r="E19" s="442">
        <v>499</v>
      </c>
      <c r="F19" s="442">
        <v>514</v>
      </c>
      <c r="G19" s="442">
        <v>559</v>
      </c>
      <c r="H19" s="442">
        <v>530</v>
      </c>
      <c r="I19" s="442">
        <v>651</v>
      </c>
      <c r="J19" s="442">
        <v>642</v>
      </c>
      <c r="K19" s="135">
        <v>599</v>
      </c>
      <c r="L19" s="135">
        <v>657</v>
      </c>
      <c r="M19" s="135">
        <v>685</v>
      </c>
      <c r="N19" s="135">
        <v>595</v>
      </c>
      <c r="O19" s="135">
        <v>656</v>
      </c>
      <c r="P19" s="135">
        <v>665</v>
      </c>
    </row>
    <row r="20" spans="1:16" s="133" customFormat="1" ht="16.5" customHeight="1">
      <c r="A20" s="8">
        <v>5</v>
      </c>
      <c r="B20" s="19" t="s">
        <v>480</v>
      </c>
      <c r="C20" s="442">
        <f>'AT-23'!D17</f>
        <v>925</v>
      </c>
      <c r="D20" s="442">
        <f t="shared" si="0"/>
        <v>925</v>
      </c>
      <c r="E20" s="442">
        <v>387</v>
      </c>
      <c r="F20" s="442">
        <v>388</v>
      </c>
      <c r="G20" s="442">
        <v>424</v>
      </c>
      <c r="H20" s="442">
        <v>421</v>
      </c>
      <c r="I20" s="442">
        <v>714</v>
      </c>
      <c r="J20" s="442">
        <v>781</v>
      </c>
      <c r="K20" s="135">
        <v>743</v>
      </c>
      <c r="L20" s="135">
        <v>711</v>
      </c>
      <c r="M20" s="135">
        <v>89</v>
      </c>
      <c r="N20" s="135">
        <v>635</v>
      </c>
      <c r="O20" s="135">
        <v>785</v>
      </c>
      <c r="P20" s="135">
        <v>717</v>
      </c>
    </row>
    <row r="21" spans="1:16" s="133" customFormat="1" ht="16.5" customHeight="1">
      <c r="A21" s="8">
        <v>6</v>
      </c>
      <c r="B21" s="19" t="s">
        <v>481</v>
      </c>
      <c r="C21" s="442">
        <f>'AT-23'!D18</f>
        <v>475</v>
      </c>
      <c r="D21" s="442">
        <f t="shared" si="0"/>
        <v>475</v>
      </c>
      <c r="E21" s="442">
        <v>305</v>
      </c>
      <c r="F21" s="442">
        <v>253</v>
      </c>
      <c r="G21" s="442">
        <v>339</v>
      </c>
      <c r="H21" s="442">
        <v>336</v>
      </c>
      <c r="I21" s="442">
        <v>326</v>
      </c>
      <c r="J21" s="442">
        <v>370</v>
      </c>
      <c r="K21" s="135">
        <v>377</v>
      </c>
      <c r="L21" s="135">
        <v>396</v>
      </c>
      <c r="M21" s="135">
        <v>71</v>
      </c>
      <c r="N21" s="135">
        <v>350</v>
      </c>
      <c r="O21" s="135">
        <v>388</v>
      </c>
      <c r="P21" s="135">
        <v>423</v>
      </c>
    </row>
    <row r="22" spans="1:16" s="188" customFormat="1" ht="16.5" customHeight="1">
      <c r="A22" s="8">
        <v>7</v>
      </c>
      <c r="B22" s="19" t="s">
        <v>482</v>
      </c>
      <c r="C22" s="442">
        <f>'AT-23'!D19</f>
        <v>719</v>
      </c>
      <c r="D22" s="442">
        <f t="shared" si="0"/>
        <v>719</v>
      </c>
      <c r="E22" s="442">
        <v>366</v>
      </c>
      <c r="F22" s="442">
        <v>374</v>
      </c>
      <c r="G22" s="442">
        <v>229</v>
      </c>
      <c r="H22" s="442">
        <v>397</v>
      </c>
      <c r="I22" s="442">
        <v>513</v>
      </c>
      <c r="J22" s="442">
        <v>563</v>
      </c>
      <c r="K22" s="135">
        <v>534</v>
      </c>
      <c r="L22" s="135">
        <v>430</v>
      </c>
      <c r="M22" s="135">
        <v>381</v>
      </c>
      <c r="N22" s="135">
        <v>457</v>
      </c>
      <c r="O22" s="135">
        <v>449</v>
      </c>
      <c r="P22" s="135">
        <v>611</v>
      </c>
    </row>
    <row r="23" spans="1:16" s="188" customFormat="1" ht="16.5" customHeight="1">
      <c r="A23" s="8">
        <v>8</v>
      </c>
      <c r="B23" s="19" t="s">
        <v>483</v>
      </c>
      <c r="C23" s="442">
        <f>'AT-23'!D20</f>
        <v>1140</v>
      </c>
      <c r="D23" s="442">
        <f t="shared" si="0"/>
        <v>1140</v>
      </c>
      <c r="E23" s="442">
        <v>514</v>
      </c>
      <c r="F23" s="442">
        <v>483</v>
      </c>
      <c r="G23" s="442">
        <v>563</v>
      </c>
      <c r="H23" s="442">
        <v>545</v>
      </c>
      <c r="I23" s="442">
        <v>845</v>
      </c>
      <c r="J23" s="442">
        <v>881</v>
      </c>
      <c r="K23" s="135">
        <v>825</v>
      </c>
      <c r="L23" s="135">
        <v>833</v>
      </c>
      <c r="M23" s="135">
        <v>426</v>
      </c>
      <c r="N23" s="135">
        <v>770</v>
      </c>
      <c r="O23" s="135">
        <v>820</v>
      </c>
      <c r="P23" s="135">
        <v>887</v>
      </c>
    </row>
    <row r="24" spans="1:16" s="188" customFormat="1" ht="16.5" customHeight="1">
      <c r="A24" s="3"/>
      <c r="B24" s="27" t="s">
        <v>484</v>
      </c>
      <c r="C24" s="137">
        <f>SUM(C16:C23)</f>
        <v>6529</v>
      </c>
      <c r="D24" s="137">
        <f aca="true" t="shared" si="1" ref="D24:P24">SUM(D16:D23)</f>
        <v>6529</v>
      </c>
      <c r="E24" s="137">
        <f t="shared" si="1"/>
        <v>3796</v>
      </c>
      <c r="F24" s="137">
        <f t="shared" si="1"/>
        <v>3725</v>
      </c>
      <c r="G24" s="137">
        <f t="shared" si="1"/>
        <v>3669</v>
      </c>
      <c r="H24" s="137">
        <f t="shared" si="1"/>
        <v>4047</v>
      </c>
      <c r="I24" s="137">
        <f t="shared" si="1"/>
        <v>4975</v>
      </c>
      <c r="J24" s="137">
        <f t="shared" si="1"/>
        <v>5100</v>
      </c>
      <c r="K24" s="137">
        <f t="shared" si="1"/>
        <v>4867</v>
      </c>
      <c r="L24" s="137">
        <f t="shared" si="1"/>
        <v>4772</v>
      </c>
      <c r="M24" s="137">
        <f t="shared" si="1"/>
        <v>2681</v>
      </c>
      <c r="N24" s="137">
        <f t="shared" si="1"/>
        <v>4495</v>
      </c>
      <c r="O24" s="137">
        <f t="shared" si="1"/>
        <v>4942</v>
      </c>
      <c r="P24" s="137">
        <f t="shared" si="1"/>
        <v>5456</v>
      </c>
    </row>
    <row r="25" s="188" customFormat="1" ht="12.75">
      <c r="B25" s="625" t="s">
        <v>1057</v>
      </c>
    </row>
    <row r="26" spans="1:2" s="133" customFormat="1" ht="12.75">
      <c r="A26" s="133">
        <v>1</v>
      </c>
      <c r="B26" s="133" t="s">
        <v>1058</v>
      </c>
    </row>
    <row r="27" spans="1:2" s="133" customFormat="1" ht="12.75">
      <c r="A27" s="133">
        <v>2</v>
      </c>
      <c r="B27" s="133" t="s">
        <v>1060</v>
      </c>
    </row>
    <row r="28" s="133" customFormat="1" ht="12.75">
      <c r="B28" s="133" t="s">
        <v>1061</v>
      </c>
    </row>
    <row r="29" spans="1:2" s="133" customFormat="1" ht="12.75">
      <c r="A29" s="133">
        <v>3</v>
      </c>
      <c r="B29" s="133" t="s">
        <v>1059</v>
      </c>
    </row>
    <row r="30" spans="4:16" s="188" customFormat="1" ht="12.75">
      <c r="D30" s="939"/>
      <c r="E30" s="939"/>
      <c r="F30" s="939"/>
      <c r="G30" s="939"/>
      <c r="H30" s="939"/>
      <c r="I30" s="939"/>
      <c r="J30" s="939"/>
      <c r="K30" s="939"/>
      <c r="L30" s="536"/>
      <c r="M30" s="536"/>
      <c r="N30" s="536"/>
      <c r="O30" s="536"/>
      <c r="P30" s="536"/>
    </row>
    <row r="31" spans="4:9" s="188" customFormat="1" ht="12.75">
      <c r="D31" s="939"/>
      <c r="E31" s="939"/>
      <c r="F31" s="939"/>
      <c r="G31" s="939"/>
      <c r="H31" s="939"/>
      <c r="I31" s="939"/>
    </row>
    <row r="32" spans="11:16" s="188" customFormat="1" ht="12.75">
      <c r="K32" s="743"/>
      <c r="L32" s="743"/>
      <c r="M32" s="743"/>
      <c r="N32" s="743"/>
      <c r="O32" s="743"/>
      <c r="P32" s="743"/>
    </row>
    <row r="33" spans="11:16" s="188" customFormat="1" ht="12.75" customHeight="1">
      <c r="K33" s="743" t="s">
        <v>819</v>
      </c>
      <c r="L33" s="743"/>
      <c r="M33" s="743"/>
      <c r="N33" s="743"/>
      <c r="O33" s="743"/>
      <c r="P33" s="743"/>
    </row>
    <row r="34" spans="11:16" s="188" customFormat="1" ht="12.75" customHeight="1">
      <c r="K34" s="743" t="s">
        <v>487</v>
      </c>
      <c r="L34" s="743"/>
      <c r="M34" s="743"/>
      <c r="N34" s="743"/>
      <c r="O34" s="743"/>
      <c r="P34" s="743"/>
    </row>
    <row r="35" spans="1:14" s="188" customFormat="1" ht="12.75">
      <c r="A35" s="188" t="s">
        <v>11</v>
      </c>
      <c r="K35" s="939" t="s">
        <v>80</v>
      </c>
      <c r="L35" s="939"/>
      <c r="M35" s="939"/>
      <c r="N35" s="939"/>
    </row>
  </sheetData>
  <sheetProtection/>
  <mergeCells count="19">
    <mergeCell ref="K33:P33"/>
    <mergeCell ref="K34:P34"/>
    <mergeCell ref="K35:N35"/>
    <mergeCell ref="A2:P2"/>
    <mergeCell ref="A13:A14"/>
    <mergeCell ref="B13:B14"/>
    <mergeCell ref="C13:C14"/>
    <mergeCell ref="D13:D14"/>
    <mergeCell ref="E13:P13"/>
    <mergeCell ref="D30:K30"/>
    <mergeCell ref="K1:L1"/>
    <mergeCell ref="O1:P1"/>
    <mergeCell ref="A3:P3"/>
    <mergeCell ref="A5:P5"/>
    <mergeCell ref="N12:P12"/>
    <mergeCell ref="K32:P32"/>
    <mergeCell ref="A9:F9"/>
    <mergeCell ref="A10:F10"/>
    <mergeCell ref="D31:I31"/>
  </mergeCells>
  <printOptions/>
  <pageMargins left="0.38" right="0.2" top="0.48" bottom="0.47" header="0.3" footer="0.3"/>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pageSetUpPr fitToPage="1"/>
  </sheetPr>
  <dimension ref="A1:R29"/>
  <sheetViews>
    <sheetView view="pageBreakPreview" zoomScale="90" zoomScaleSheetLayoutView="90" zoomScalePageLayoutView="0" workbookViewId="0" topLeftCell="A1">
      <selection activeCell="G16" sqref="G16:I19"/>
    </sheetView>
  </sheetViews>
  <sheetFormatPr defaultColWidth="9.140625" defaultRowHeight="12.75"/>
  <cols>
    <col min="1" max="1" width="5.57421875" style="0" customWidth="1"/>
    <col min="2" max="2" width="13.28125" style="0" customWidth="1"/>
    <col min="4" max="4" width="8.421875" style="0" customWidth="1"/>
    <col min="5" max="6" width="12.8515625" style="0" customWidth="1"/>
    <col min="7" max="7" width="15.28125" style="0" customWidth="1"/>
    <col min="8" max="8" width="17.00390625" style="0" customWidth="1"/>
    <col min="9" max="9" width="18.00390625" style="0" customWidth="1"/>
    <col min="10" max="10" width="11.140625" style="0" customWidth="1"/>
    <col min="11" max="11" width="12.7109375" style="0" customWidth="1"/>
    <col min="12" max="12" width="11.421875" style="0" customWidth="1"/>
    <col min="13" max="13" width="15.421875" style="0" customWidth="1"/>
  </cols>
  <sheetData>
    <row r="1" spans="12:18" ht="18">
      <c r="L1" s="946" t="s">
        <v>730</v>
      </c>
      <c r="M1" s="946"/>
      <c r="N1" s="208"/>
      <c r="O1" s="208"/>
      <c r="P1" s="208"/>
      <c r="Q1" s="208"/>
      <c r="R1" s="208"/>
    </row>
    <row r="2" spans="1:16" ht="18">
      <c r="A2" s="739" t="s">
        <v>0</v>
      </c>
      <c r="B2" s="739"/>
      <c r="C2" s="739"/>
      <c r="D2" s="739"/>
      <c r="E2" s="739"/>
      <c r="F2" s="739"/>
      <c r="G2" s="739"/>
      <c r="H2" s="739"/>
      <c r="I2" s="739"/>
      <c r="J2" s="739"/>
      <c r="K2" s="739"/>
      <c r="L2" s="739"/>
      <c r="M2" s="739"/>
      <c r="N2" s="208"/>
      <c r="O2" s="208"/>
      <c r="P2" s="208"/>
    </row>
    <row r="3" spans="1:16" ht="21">
      <c r="A3" s="740" t="s">
        <v>854</v>
      </c>
      <c r="B3" s="740"/>
      <c r="C3" s="740"/>
      <c r="D3" s="740"/>
      <c r="E3" s="740"/>
      <c r="F3" s="740"/>
      <c r="G3" s="740"/>
      <c r="H3" s="740"/>
      <c r="I3" s="740"/>
      <c r="J3" s="740"/>
      <c r="K3" s="740"/>
      <c r="L3" s="740"/>
      <c r="M3" s="740"/>
      <c r="N3" s="209"/>
      <c r="O3" s="209"/>
      <c r="P3" s="209"/>
    </row>
    <row r="4" spans="3:16" ht="12.75" customHeight="1">
      <c r="C4" s="182"/>
      <c r="D4" s="182"/>
      <c r="E4" s="182"/>
      <c r="F4" s="182"/>
      <c r="G4" s="182"/>
      <c r="H4" s="182"/>
      <c r="I4" s="182"/>
      <c r="J4" s="182"/>
      <c r="K4" s="182"/>
      <c r="L4" s="182"/>
      <c r="M4" s="182"/>
      <c r="N4" s="209"/>
      <c r="O4" s="209"/>
      <c r="P4" s="209"/>
    </row>
    <row r="5" spans="1:13" ht="20.25" customHeight="1">
      <c r="A5" s="957" t="s">
        <v>731</v>
      </c>
      <c r="B5" s="957"/>
      <c r="C5" s="957"/>
      <c r="D5" s="957"/>
      <c r="E5" s="957"/>
      <c r="F5" s="957"/>
      <c r="G5" s="957"/>
      <c r="H5" s="957"/>
      <c r="I5" s="957"/>
      <c r="J5" s="957"/>
      <c r="K5" s="957"/>
      <c r="L5" s="957"/>
      <c r="M5" s="957"/>
    </row>
    <row r="6" spans="1:13" ht="12.75" customHeight="1">
      <c r="A6" s="336"/>
      <c r="B6" s="336"/>
      <c r="C6" s="336"/>
      <c r="D6" s="336"/>
      <c r="E6" s="336"/>
      <c r="F6" s="336"/>
      <c r="G6" s="336"/>
      <c r="H6" s="336"/>
      <c r="I6" s="336"/>
      <c r="J6" s="336"/>
      <c r="K6" s="336"/>
      <c r="L6" s="336"/>
      <c r="M6" s="336"/>
    </row>
    <row r="7" spans="2:10" s="188" customFormat="1" ht="12.75">
      <c r="B7" s="193" t="s">
        <v>475</v>
      </c>
      <c r="C7" s="193"/>
      <c r="D7" s="193"/>
      <c r="E7" s="193"/>
      <c r="F7" s="193"/>
      <c r="G7" s="193"/>
      <c r="H7" s="193"/>
      <c r="I7" s="193"/>
      <c r="J7" s="193"/>
    </row>
    <row r="8" spans="2:13" s="188" customFormat="1" ht="12.75">
      <c r="B8" s="193"/>
      <c r="C8" s="193"/>
      <c r="D8" s="193"/>
      <c r="E8" s="193"/>
      <c r="F8" s="193"/>
      <c r="G8" s="193"/>
      <c r="H8" s="193"/>
      <c r="I8" s="193"/>
      <c r="J8" s="193"/>
      <c r="K8" s="965" t="s">
        <v>856</v>
      </c>
      <c r="L8" s="965"/>
      <c r="M8" s="965"/>
    </row>
    <row r="9" spans="1:13" s="260" customFormat="1" ht="15" customHeight="1">
      <c r="A9" s="834" t="s">
        <v>70</v>
      </c>
      <c r="B9" s="834" t="s">
        <v>293</v>
      </c>
      <c r="C9" s="958" t="s">
        <v>423</v>
      </c>
      <c r="D9" s="959"/>
      <c r="E9" s="959"/>
      <c r="F9" s="959"/>
      <c r="G9" s="960"/>
      <c r="H9" s="956" t="s">
        <v>420</v>
      </c>
      <c r="I9" s="956"/>
      <c r="J9" s="956"/>
      <c r="K9" s="956"/>
      <c r="L9" s="956"/>
      <c r="M9" s="834" t="s">
        <v>294</v>
      </c>
    </row>
    <row r="10" spans="1:13" s="260" customFormat="1" ht="12.75" customHeight="1">
      <c r="A10" s="835"/>
      <c r="B10" s="835"/>
      <c r="C10" s="961"/>
      <c r="D10" s="962"/>
      <c r="E10" s="962"/>
      <c r="F10" s="962"/>
      <c r="G10" s="963"/>
      <c r="H10" s="956"/>
      <c r="I10" s="956"/>
      <c r="J10" s="956"/>
      <c r="K10" s="956"/>
      <c r="L10" s="956"/>
      <c r="M10" s="835"/>
    </row>
    <row r="11" spans="1:13" s="260" customFormat="1" ht="5.25" customHeight="1">
      <c r="A11" s="835"/>
      <c r="B11" s="835"/>
      <c r="C11" s="961"/>
      <c r="D11" s="962"/>
      <c r="E11" s="962"/>
      <c r="F11" s="962"/>
      <c r="G11" s="963"/>
      <c r="H11" s="956"/>
      <c r="I11" s="956"/>
      <c r="J11" s="956"/>
      <c r="K11" s="956"/>
      <c r="L11" s="956"/>
      <c r="M11" s="835"/>
    </row>
    <row r="12" spans="1:13" s="260" customFormat="1" ht="54" customHeight="1">
      <c r="A12" s="836"/>
      <c r="B12" s="836"/>
      <c r="C12" s="359" t="s">
        <v>295</v>
      </c>
      <c r="D12" s="359" t="s">
        <v>296</v>
      </c>
      <c r="E12" s="359" t="s">
        <v>297</v>
      </c>
      <c r="F12" s="359" t="s">
        <v>298</v>
      </c>
      <c r="G12" s="360" t="s">
        <v>299</v>
      </c>
      <c r="H12" s="361" t="s">
        <v>419</v>
      </c>
      <c r="I12" s="361" t="s">
        <v>424</v>
      </c>
      <c r="J12" s="361" t="s">
        <v>421</v>
      </c>
      <c r="K12" s="361" t="s">
        <v>422</v>
      </c>
      <c r="L12" s="361" t="s">
        <v>44</v>
      </c>
      <c r="M12" s="836"/>
    </row>
    <row r="13" spans="1:13" ht="15">
      <c r="A13" s="212">
        <v>1</v>
      </c>
      <c r="B13" s="212">
        <v>2</v>
      </c>
      <c r="C13" s="212">
        <v>3</v>
      </c>
      <c r="D13" s="212">
        <v>4</v>
      </c>
      <c r="E13" s="212">
        <v>5</v>
      </c>
      <c r="F13" s="212">
        <v>6</v>
      </c>
      <c r="G13" s="212">
        <v>7</v>
      </c>
      <c r="H13" s="212">
        <v>8</v>
      </c>
      <c r="I13" s="212">
        <v>9</v>
      </c>
      <c r="J13" s="212">
        <v>10</v>
      </c>
      <c r="K13" s="212">
        <v>11</v>
      </c>
      <c r="L13" s="212">
        <v>12</v>
      </c>
      <c r="M13" s="212">
        <v>13</v>
      </c>
    </row>
    <row r="14" spans="1:13" ht="12.75">
      <c r="A14" s="8">
        <v>1</v>
      </c>
      <c r="B14" s="19" t="s">
        <v>476</v>
      </c>
      <c r="C14" s="214"/>
      <c r="D14" s="214"/>
      <c r="E14" s="214"/>
      <c r="F14" s="214"/>
      <c r="G14" s="214"/>
      <c r="H14" s="214"/>
      <c r="I14" s="214"/>
      <c r="J14" s="214"/>
      <c r="K14" s="214"/>
      <c r="L14" s="214"/>
      <c r="M14" s="214"/>
    </row>
    <row r="15" spans="1:13" ht="12.75">
      <c r="A15" s="8">
        <v>2</v>
      </c>
      <c r="B15" s="19" t="s">
        <v>477</v>
      </c>
      <c r="C15" s="214"/>
      <c r="D15" s="214"/>
      <c r="E15" s="214"/>
      <c r="F15" s="214"/>
      <c r="G15" s="214"/>
      <c r="H15" s="214"/>
      <c r="I15" s="214"/>
      <c r="J15" s="214"/>
      <c r="K15" s="214"/>
      <c r="L15" s="214"/>
      <c r="M15" s="214"/>
    </row>
    <row r="16" spans="1:13" ht="12.75">
      <c r="A16" s="8">
        <v>3</v>
      </c>
      <c r="B16" s="19" t="s">
        <v>478</v>
      </c>
      <c r="C16" s="214"/>
      <c r="D16" s="214"/>
      <c r="E16" s="214"/>
      <c r="F16" s="214"/>
      <c r="G16" s="947" t="s">
        <v>512</v>
      </c>
      <c r="H16" s="948"/>
      <c r="I16" s="949"/>
      <c r="J16" s="214"/>
      <c r="K16" s="214"/>
      <c r="L16" s="214"/>
      <c r="M16" s="214"/>
    </row>
    <row r="17" spans="1:13" ht="12.75">
      <c r="A17" s="8">
        <v>4</v>
      </c>
      <c r="B17" s="19" t="s">
        <v>479</v>
      </c>
      <c r="C17" s="214"/>
      <c r="D17" s="214"/>
      <c r="E17" s="214"/>
      <c r="F17" s="214"/>
      <c r="G17" s="950"/>
      <c r="H17" s="951"/>
      <c r="I17" s="952"/>
      <c r="J17" s="214"/>
      <c r="K17" s="214"/>
      <c r="L17" s="214"/>
      <c r="M17" s="214"/>
    </row>
    <row r="18" spans="1:13" ht="12.75">
      <c r="A18" s="8">
        <v>5</v>
      </c>
      <c r="B18" s="19" t="s">
        <v>480</v>
      </c>
      <c r="C18" s="9"/>
      <c r="D18" s="9"/>
      <c r="E18" s="9"/>
      <c r="F18" s="9"/>
      <c r="G18" s="950"/>
      <c r="H18" s="951"/>
      <c r="I18" s="952"/>
      <c r="J18" s="9"/>
      <c r="K18" s="9"/>
      <c r="L18" s="9"/>
      <c r="M18" s="9"/>
    </row>
    <row r="19" spans="1:13" ht="12.75">
      <c r="A19" s="8">
        <v>6</v>
      </c>
      <c r="B19" s="19" t="s">
        <v>481</v>
      </c>
      <c r="C19" s="9"/>
      <c r="D19" s="9"/>
      <c r="E19" s="9"/>
      <c r="F19" s="9"/>
      <c r="G19" s="953"/>
      <c r="H19" s="954"/>
      <c r="I19" s="955"/>
      <c r="J19" s="9"/>
      <c r="K19" s="9"/>
      <c r="L19" s="9"/>
      <c r="M19" s="9"/>
    </row>
    <row r="20" spans="1:13" ht="12.75">
      <c r="A20" s="8">
        <v>7</v>
      </c>
      <c r="B20" s="19" t="s">
        <v>482</v>
      </c>
      <c r="C20" s="9"/>
      <c r="D20" s="9"/>
      <c r="E20" s="9"/>
      <c r="F20" s="9"/>
      <c r="G20" s="9"/>
      <c r="H20" s="9"/>
      <c r="I20" s="9"/>
      <c r="J20" s="9"/>
      <c r="K20" s="9"/>
      <c r="L20" s="9"/>
      <c r="M20" s="9"/>
    </row>
    <row r="21" spans="1:13" ht="12.75">
      <c r="A21" s="8">
        <v>8</v>
      </c>
      <c r="B21" s="19" t="s">
        <v>483</v>
      </c>
      <c r="C21" s="9"/>
      <c r="D21" s="9"/>
      <c r="E21" s="9"/>
      <c r="F21" s="9"/>
      <c r="G21" s="9"/>
      <c r="H21" s="9"/>
      <c r="I21" s="9"/>
      <c r="J21" s="9"/>
      <c r="K21" s="9"/>
      <c r="L21" s="9"/>
      <c r="M21" s="9"/>
    </row>
    <row r="22" spans="1:13" ht="12.75">
      <c r="A22" s="3"/>
      <c r="B22" s="27" t="s">
        <v>484</v>
      </c>
      <c r="C22" s="9"/>
      <c r="D22" s="9"/>
      <c r="E22" s="9"/>
      <c r="F22" s="9"/>
      <c r="G22" s="9"/>
      <c r="H22" s="268"/>
      <c r="I22" s="9"/>
      <c r="J22" s="9"/>
      <c r="K22" s="9"/>
      <c r="L22" s="9"/>
      <c r="M22" s="9"/>
    </row>
    <row r="23" spans="2:6" ht="12" customHeight="1">
      <c r="B23" s="215"/>
      <c r="C23" s="964"/>
      <c r="D23" s="964"/>
      <c r="E23" s="964"/>
      <c r="F23" s="964"/>
    </row>
    <row r="26" spans="1:13" ht="12.75">
      <c r="A26" s="188"/>
      <c r="B26" s="188"/>
      <c r="C26" s="188"/>
      <c r="D26" s="188"/>
      <c r="H26" s="201"/>
      <c r="I26" s="189"/>
      <c r="J26" s="743"/>
      <c r="K26" s="743"/>
      <c r="L26" s="743"/>
      <c r="M26" s="743"/>
    </row>
    <row r="27" spans="1:13" ht="15" customHeight="1">
      <c r="A27" s="188" t="s">
        <v>11</v>
      </c>
      <c r="B27" s="188"/>
      <c r="C27" s="188"/>
      <c r="D27" s="188"/>
      <c r="H27" s="201"/>
      <c r="I27" s="201"/>
      <c r="J27" s="743" t="s">
        <v>819</v>
      </c>
      <c r="K27" s="743"/>
      <c r="L27" s="743"/>
      <c r="M27" s="743"/>
    </row>
    <row r="28" spans="1:13" ht="12.75">
      <c r="A28" s="188"/>
      <c r="B28" s="188"/>
      <c r="C28" s="188"/>
      <c r="D28" s="188"/>
      <c r="H28" s="201"/>
      <c r="I28" s="201"/>
      <c r="J28" s="743" t="s">
        <v>487</v>
      </c>
      <c r="K28" s="743"/>
      <c r="L28" s="743"/>
      <c r="M28" s="743"/>
    </row>
    <row r="29" spans="3:12" ht="12.75">
      <c r="C29" s="188"/>
      <c r="D29" s="188"/>
      <c r="H29" s="192"/>
      <c r="I29" s="190"/>
      <c r="J29" s="192" t="s">
        <v>548</v>
      </c>
      <c r="K29" s="190"/>
      <c r="L29" s="190"/>
    </row>
  </sheetData>
  <sheetProtection/>
  <mergeCells count="15">
    <mergeCell ref="C9:G11"/>
    <mergeCell ref="C23:F23"/>
    <mergeCell ref="K8:M8"/>
    <mergeCell ref="A2:M2"/>
    <mergeCell ref="A3:M3"/>
    <mergeCell ref="J26:M26"/>
    <mergeCell ref="L1:M1"/>
    <mergeCell ref="J27:M27"/>
    <mergeCell ref="J28:M28"/>
    <mergeCell ref="G16:I19"/>
    <mergeCell ref="H9:L11"/>
    <mergeCell ref="A5:M5"/>
    <mergeCell ref="M9:M12"/>
    <mergeCell ref="A9:A12"/>
    <mergeCell ref="B9:B12"/>
  </mergeCells>
  <printOptions horizontalCentered="1"/>
  <pageMargins left="0.7086614173228347" right="0.31" top="1.03" bottom="0" header="0.31496062992125984" footer="0.31496062992125984"/>
  <pageSetup fitToHeight="1" fitToWidth="1" horizontalDpi="600" verticalDpi="600" orientation="landscape" paperSize="9" scale="85" r:id="rId1"/>
</worksheet>
</file>

<file path=xl/worksheets/sheet53.xml><?xml version="1.0" encoding="utf-8"?>
<worksheet xmlns="http://schemas.openxmlformats.org/spreadsheetml/2006/main" xmlns:r="http://schemas.openxmlformats.org/officeDocument/2006/relationships">
  <sheetPr>
    <pageSetUpPr fitToPage="1"/>
  </sheetPr>
  <dimension ref="A1:L70"/>
  <sheetViews>
    <sheetView view="pageBreakPreview" zoomScale="88" zoomScaleSheetLayoutView="88" zoomScalePageLayoutView="0" workbookViewId="0" topLeftCell="A1">
      <selection activeCell="D9" sqref="D9"/>
    </sheetView>
  </sheetViews>
  <sheetFormatPr defaultColWidth="9.140625" defaultRowHeight="12.75"/>
  <cols>
    <col min="1" max="1" width="44.28125" style="0" customWidth="1"/>
    <col min="2" max="2" width="25.7109375" style="0" customWidth="1"/>
    <col min="3" max="3" width="18.28125" style="0" customWidth="1"/>
    <col min="4" max="4" width="22.57421875" style="0" customWidth="1"/>
    <col min="5" max="5" width="31.28125" style="0" customWidth="1"/>
    <col min="6" max="6" width="81.140625" style="0" customWidth="1"/>
    <col min="7" max="7" width="4.140625" style="0" customWidth="1"/>
  </cols>
  <sheetData>
    <row r="1" spans="6:7" ht="15.75">
      <c r="F1" s="966" t="s">
        <v>732</v>
      </c>
      <c r="G1" s="966"/>
    </row>
    <row r="2" spans="1:12" ht="18">
      <c r="A2" s="739" t="s">
        <v>0</v>
      </c>
      <c r="B2" s="739"/>
      <c r="C2" s="739"/>
      <c r="D2" s="739"/>
      <c r="E2" s="739"/>
      <c r="F2" s="739"/>
      <c r="G2" s="739"/>
      <c r="H2" s="208"/>
      <c r="I2" s="208"/>
      <c r="J2" s="208"/>
      <c r="K2" s="208"/>
      <c r="L2" s="208"/>
    </row>
    <row r="3" spans="1:12" ht="21">
      <c r="A3" s="740" t="s">
        <v>854</v>
      </c>
      <c r="B3" s="740"/>
      <c r="C3" s="740"/>
      <c r="D3" s="740"/>
      <c r="E3" s="740"/>
      <c r="F3" s="740"/>
      <c r="G3" s="740"/>
      <c r="H3" s="209"/>
      <c r="I3" s="209"/>
      <c r="J3" s="209"/>
      <c r="K3" s="209"/>
      <c r="L3" s="209"/>
    </row>
    <row r="4" spans="1:6" ht="12.75">
      <c r="A4" s="151"/>
      <c r="B4" s="151"/>
      <c r="C4" s="151"/>
      <c r="D4" s="151"/>
      <c r="E4" s="151"/>
      <c r="F4" s="151"/>
    </row>
    <row r="5" spans="1:7" ht="18.75">
      <c r="A5" s="967" t="s">
        <v>733</v>
      </c>
      <c r="B5" s="967"/>
      <c r="C5" s="967"/>
      <c r="D5" s="967"/>
      <c r="E5" s="967"/>
      <c r="F5" s="967"/>
      <c r="G5" s="967"/>
    </row>
    <row r="6" spans="1:11" s="333" customFormat="1" ht="12.75">
      <c r="A6" s="356" t="s">
        <v>475</v>
      </c>
      <c r="C6" s="356"/>
      <c r="D6" s="356"/>
      <c r="E6" s="356"/>
      <c r="F6" s="356"/>
      <c r="G6" s="356"/>
      <c r="H6" s="356"/>
      <c r="I6" s="356"/>
      <c r="J6" s="356"/>
      <c r="K6" s="356"/>
    </row>
    <row r="7" spans="1:11" s="333" customFormat="1" ht="6" customHeight="1">
      <c r="A7" s="356"/>
      <c r="C7" s="356"/>
      <c r="D7" s="356"/>
      <c r="E7" s="356"/>
      <c r="F7" s="356"/>
      <c r="G7" s="356"/>
      <c r="H7" s="356"/>
      <c r="I7" s="356"/>
      <c r="J7" s="356"/>
      <c r="K7" s="356"/>
    </row>
    <row r="8" spans="1:6" ht="31.5">
      <c r="A8" s="438"/>
      <c r="B8" s="439" t="s">
        <v>322</v>
      </c>
      <c r="C8" s="439" t="s">
        <v>323</v>
      </c>
      <c r="D8" s="439" t="s">
        <v>324</v>
      </c>
      <c r="E8" s="217"/>
      <c r="F8" s="217"/>
    </row>
    <row r="9" spans="1:6" ht="15">
      <c r="A9" s="218" t="s">
        <v>325</v>
      </c>
      <c r="B9" s="218" t="s">
        <v>532</v>
      </c>
      <c r="C9" s="218" t="s">
        <v>532</v>
      </c>
      <c r="D9" s="218" t="s">
        <v>532</v>
      </c>
      <c r="E9" s="217"/>
      <c r="F9" s="217"/>
    </row>
    <row r="10" spans="1:6" ht="13.5" customHeight="1">
      <c r="A10" s="218" t="s">
        <v>326</v>
      </c>
      <c r="B10" s="218" t="s">
        <v>532</v>
      </c>
      <c r="C10" s="218" t="s">
        <v>532</v>
      </c>
      <c r="D10" s="218" t="s">
        <v>532</v>
      </c>
      <c r="E10" s="217"/>
      <c r="F10" s="217"/>
    </row>
    <row r="11" spans="1:6" ht="13.5" customHeight="1">
      <c r="A11" s="218" t="s">
        <v>327</v>
      </c>
      <c r="B11" s="218"/>
      <c r="C11" s="218"/>
      <c r="D11" s="218"/>
      <c r="E11" s="217"/>
      <c r="F11" s="217"/>
    </row>
    <row r="12" spans="1:6" ht="21" customHeight="1">
      <c r="A12" s="219" t="s">
        <v>328</v>
      </c>
      <c r="B12" s="452" t="s">
        <v>664</v>
      </c>
      <c r="C12" s="218" t="s">
        <v>534</v>
      </c>
      <c r="D12" s="218" t="s">
        <v>534</v>
      </c>
      <c r="E12" s="217"/>
      <c r="F12" s="217"/>
    </row>
    <row r="13" spans="1:6" ht="13.5" customHeight="1">
      <c r="A13" s="219" t="s">
        <v>329</v>
      </c>
      <c r="B13" s="218" t="s">
        <v>532</v>
      </c>
      <c r="C13" s="218" t="s">
        <v>534</v>
      </c>
      <c r="D13" s="218" t="s">
        <v>534</v>
      </c>
      <c r="E13" s="217"/>
      <c r="F13" s="217"/>
    </row>
    <row r="14" spans="1:6" ht="13.5" customHeight="1">
      <c r="A14" s="219" t="s">
        <v>535</v>
      </c>
      <c r="B14" s="218" t="s">
        <v>532</v>
      </c>
      <c r="C14" s="218" t="s">
        <v>532</v>
      </c>
      <c r="D14" s="218" t="s">
        <v>532</v>
      </c>
      <c r="E14" s="217"/>
      <c r="F14" s="217"/>
    </row>
    <row r="15" spans="1:6" ht="13.5" customHeight="1">
      <c r="A15" s="219" t="s">
        <v>330</v>
      </c>
      <c r="B15" s="218"/>
      <c r="C15" s="218"/>
      <c r="D15" s="218"/>
      <c r="E15" s="217"/>
      <c r="F15" s="217"/>
    </row>
    <row r="16" spans="1:6" ht="13.5" customHeight="1">
      <c r="A16" s="219" t="s">
        <v>331</v>
      </c>
      <c r="B16" s="218" t="s">
        <v>533</v>
      </c>
      <c r="C16" s="218" t="s">
        <v>532</v>
      </c>
      <c r="D16" s="218" t="s">
        <v>532</v>
      </c>
      <c r="E16" s="217"/>
      <c r="F16" s="217"/>
    </row>
    <row r="17" spans="1:6" ht="13.5" customHeight="1">
      <c r="A17" s="219" t="s">
        <v>332</v>
      </c>
      <c r="B17" s="218" t="s">
        <v>532</v>
      </c>
      <c r="C17" s="218" t="s">
        <v>532</v>
      </c>
      <c r="D17" s="218" t="s">
        <v>532</v>
      </c>
      <c r="E17" s="217"/>
      <c r="F17" s="217"/>
    </row>
    <row r="18" spans="1:6" ht="13.5" customHeight="1">
      <c r="A18" s="219" t="s">
        <v>333</v>
      </c>
      <c r="B18" s="218" t="s">
        <v>532</v>
      </c>
      <c r="C18" s="218" t="s">
        <v>532</v>
      </c>
      <c r="D18" s="218" t="s">
        <v>532</v>
      </c>
      <c r="E18" s="217"/>
      <c r="F18" s="217"/>
    </row>
    <row r="19" spans="1:6" ht="13.5" customHeight="1">
      <c r="A19" s="219" t="s">
        <v>334</v>
      </c>
      <c r="B19" s="218" t="s">
        <v>532</v>
      </c>
      <c r="C19" s="218" t="s">
        <v>532</v>
      </c>
      <c r="D19" s="218" t="s">
        <v>532</v>
      </c>
      <c r="E19" s="217"/>
      <c r="F19" s="217"/>
    </row>
    <row r="20" spans="1:6" ht="13.5" customHeight="1">
      <c r="A20" s="219" t="s">
        <v>335</v>
      </c>
      <c r="B20" s="218" t="s">
        <v>532</v>
      </c>
      <c r="C20" s="218" t="s">
        <v>532</v>
      </c>
      <c r="D20" s="218" t="s">
        <v>532</v>
      </c>
      <c r="E20" s="217"/>
      <c r="F20" s="217"/>
    </row>
    <row r="21" spans="1:6" ht="13.5" customHeight="1">
      <c r="A21" s="220"/>
      <c r="B21" s="221"/>
      <c r="C21" s="221"/>
      <c r="D21" s="221"/>
      <c r="E21" s="217"/>
      <c r="F21" s="217"/>
    </row>
    <row r="22" spans="1:7" ht="13.5" customHeight="1">
      <c r="A22" s="968" t="s">
        <v>336</v>
      </c>
      <c r="B22" s="968"/>
      <c r="C22" s="968"/>
      <c r="D22" s="968"/>
      <c r="E22" s="968"/>
      <c r="F22" s="968"/>
      <c r="G22" s="968"/>
    </row>
    <row r="23" spans="1:7" ht="15">
      <c r="A23" s="217"/>
      <c r="B23" s="217"/>
      <c r="C23" s="217"/>
      <c r="D23" s="217"/>
      <c r="E23" s="745" t="s">
        <v>856</v>
      </c>
      <c r="F23" s="745"/>
      <c r="G23" s="745"/>
    </row>
    <row r="24" spans="1:7" ht="36.75" customHeight="1">
      <c r="A24" s="547" t="s">
        <v>426</v>
      </c>
      <c r="B24" s="547" t="s">
        <v>3</v>
      </c>
      <c r="C24" s="547" t="s">
        <v>337</v>
      </c>
      <c r="D24" s="547" t="s">
        <v>338</v>
      </c>
      <c r="E24" s="547" t="s">
        <v>339</v>
      </c>
      <c r="F24" s="547" t="s">
        <v>340</v>
      </c>
      <c r="G24" s="13"/>
    </row>
    <row r="25" spans="1:6" ht="12.75">
      <c r="A25" s="969" t="s">
        <v>341</v>
      </c>
      <c r="B25" s="218" t="s">
        <v>483</v>
      </c>
      <c r="C25" s="222">
        <v>1</v>
      </c>
      <c r="D25" s="575">
        <v>43191</v>
      </c>
      <c r="E25" s="218" t="s">
        <v>1013</v>
      </c>
      <c r="F25" s="580" t="s">
        <v>1014</v>
      </c>
    </row>
    <row r="26" spans="1:6" ht="12.75">
      <c r="A26" s="970"/>
      <c r="B26" s="218" t="s">
        <v>482</v>
      </c>
      <c r="C26" s="222">
        <v>1</v>
      </c>
      <c r="D26" s="575">
        <v>43191</v>
      </c>
      <c r="E26" s="218" t="s">
        <v>1013</v>
      </c>
      <c r="F26" s="580" t="s">
        <v>1014</v>
      </c>
    </row>
    <row r="27" spans="1:6" ht="12.75">
      <c r="A27" s="970"/>
      <c r="B27" s="218" t="s">
        <v>480</v>
      </c>
      <c r="C27" s="222">
        <v>1</v>
      </c>
      <c r="D27" s="575">
        <v>43252</v>
      </c>
      <c r="E27" s="218" t="s">
        <v>1013</v>
      </c>
      <c r="F27" s="218" t="s">
        <v>1015</v>
      </c>
    </row>
    <row r="28" spans="1:6" ht="12.75">
      <c r="A28" s="970"/>
      <c r="B28" s="218" t="s">
        <v>478</v>
      </c>
      <c r="C28" s="222">
        <v>1</v>
      </c>
      <c r="D28" s="575">
        <v>43313</v>
      </c>
      <c r="E28" s="218" t="s">
        <v>1013</v>
      </c>
      <c r="F28" s="218" t="s">
        <v>1016</v>
      </c>
    </row>
    <row r="29" spans="1:6" ht="12.75">
      <c r="A29" s="972"/>
      <c r="B29" s="218" t="s">
        <v>479</v>
      </c>
      <c r="C29" s="222">
        <v>1</v>
      </c>
      <c r="D29" s="575">
        <v>43374</v>
      </c>
      <c r="E29" s="218" t="s">
        <v>1013</v>
      </c>
      <c r="F29" s="218" t="s">
        <v>1017</v>
      </c>
    </row>
    <row r="30" spans="1:6" ht="12.75">
      <c r="A30" s="218" t="s">
        <v>342</v>
      </c>
      <c r="B30" s="218"/>
      <c r="C30" s="222"/>
      <c r="D30" s="222"/>
      <c r="E30" s="218"/>
      <c r="F30" s="218"/>
    </row>
    <row r="31" spans="1:6" ht="15">
      <c r="A31" s="218" t="s">
        <v>343</v>
      </c>
      <c r="B31" s="218"/>
      <c r="C31" s="222"/>
      <c r="D31" s="222"/>
      <c r="E31" s="411"/>
      <c r="F31" s="411"/>
    </row>
    <row r="32" spans="1:6" ht="19.5" customHeight="1">
      <c r="A32" s="218" t="s">
        <v>811</v>
      </c>
      <c r="B32" s="218"/>
      <c r="C32" s="222"/>
      <c r="D32" s="222"/>
      <c r="E32" s="218"/>
      <c r="F32" s="218"/>
    </row>
    <row r="33" spans="1:6" ht="12.75">
      <c r="A33" s="218" t="s">
        <v>798</v>
      </c>
      <c r="B33" s="218"/>
      <c r="C33" s="222"/>
      <c r="D33" s="222"/>
      <c r="E33" s="218"/>
      <c r="F33" s="218"/>
    </row>
    <row r="34" spans="1:6" ht="14.25" customHeight="1">
      <c r="A34" s="218" t="s">
        <v>344</v>
      </c>
      <c r="B34" s="218"/>
      <c r="C34" s="222"/>
      <c r="D34" s="222"/>
      <c r="E34" s="218"/>
      <c r="F34" s="218"/>
    </row>
    <row r="35" spans="1:6" ht="12.75">
      <c r="A35" s="971" t="s">
        <v>345</v>
      </c>
      <c r="B35" s="218" t="s">
        <v>482</v>
      </c>
      <c r="C35" s="222">
        <v>1</v>
      </c>
      <c r="D35" s="575">
        <v>43191</v>
      </c>
      <c r="E35" s="218" t="s">
        <v>1013</v>
      </c>
      <c r="F35" s="580" t="s">
        <v>1023</v>
      </c>
    </row>
    <row r="36" spans="1:6" ht="12.75">
      <c r="A36" s="971"/>
      <c r="B36" s="218" t="s">
        <v>1021</v>
      </c>
      <c r="C36" s="222">
        <v>2</v>
      </c>
      <c r="D36" s="575">
        <v>43191</v>
      </c>
      <c r="E36" s="218" t="s">
        <v>1013</v>
      </c>
      <c r="F36" s="218" t="s">
        <v>1020</v>
      </c>
    </row>
    <row r="37" spans="1:6" ht="15">
      <c r="A37" s="971"/>
      <c r="B37" s="218" t="s">
        <v>1018</v>
      </c>
      <c r="C37" s="547">
        <v>1</v>
      </c>
      <c r="D37" s="575">
        <v>43344</v>
      </c>
      <c r="E37" s="218" t="s">
        <v>1019</v>
      </c>
      <c r="F37" s="218" t="s">
        <v>1016</v>
      </c>
    </row>
    <row r="38" spans="1:6" ht="12.75">
      <c r="A38" s="969" t="s">
        <v>346</v>
      </c>
      <c r="B38" s="218" t="s">
        <v>483</v>
      </c>
      <c r="C38" s="222">
        <v>1</v>
      </c>
      <c r="D38" s="575">
        <v>43191</v>
      </c>
      <c r="E38" s="218" t="s">
        <v>1013</v>
      </c>
      <c r="F38" s="218" t="s">
        <v>1016</v>
      </c>
    </row>
    <row r="39" spans="1:6" ht="12.75">
      <c r="A39" s="970"/>
      <c r="B39" s="218" t="s">
        <v>1018</v>
      </c>
      <c r="C39" s="222">
        <v>1</v>
      </c>
      <c r="D39" s="575">
        <v>43191</v>
      </c>
      <c r="E39" s="218" t="s">
        <v>1013</v>
      </c>
      <c r="F39" s="218" t="s">
        <v>1022</v>
      </c>
    </row>
    <row r="40" spans="1:6" ht="12.75">
      <c r="A40" s="970"/>
      <c r="B40" s="218" t="s">
        <v>1021</v>
      </c>
      <c r="C40" s="222">
        <v>1</v>
      </c>
      <c r="D40" s="575">
        <v>43344</v>
      </c>
      <c r="E40" s="218" t="s">
        <v>1013</v>
      </c>
      <c r="F40" s="218" t="s">
        <v>1016</v>
      </c>
    </row>
    <row r="41" spans="1:6" ht="12.75">
      <c r="A41" s="972"/>
      <c r="B41" s="218" t="s">
        <v>481</v>
      </c>
      <c r="C41" s="222">
        <v>1</v>
      </c>
      <c r="D41" s="575">
        <v>43435</v>
      </c>
      <c r="E41" s="218" t="s">
        <v>1013</v>
      </c>
      <c r="F41" s="218" t="s">
        <v>1016</v>
      </c>
    </row>
    <row r="42" spans="1:6" ht="12.75">
      <c r="A42" s="218" t="s">
        <v>347</v>
      </c>
      <c r="B42" s="218"/>
      <c r="C42" s="222"/>
      <c r="D42" s="222"/>
      <c r="E42" s="218"/>
      <c r="F42" s="218"/>
    </row>
    <row r="43" spans="1:6" ht="12.75">
      <c r="A43" s="581" t="s">
        <v>348</v>
      </c>
      <c r="B43" s="218"/>
      <c r="C43" s="222"/>
      <c r="D43" s="222"/>
      <c r="E43" s="218"/>
      <c r="F43" s="218"/>
    </row>
    <row r="44" spans="1:6" ht="12.75">
      <c r="A44" s="971" t="s">
        <v>349</v>
      </c>
      <c r="B44" s="218" t="s">
        <v>479</v>
      </c>
      <c r="C44" s="222">
        <v>1</v>
      </c>
      <c r="D44" s="575">
        <v>43191</v>
      </c>
      <c r="E44" s="218" t="s">
        <v>1013</v>
      </c>
      <c r="F44" s="218" t="s">
        <v>1024</v>
      </c>
    </row>
    <row r="45" spans="1:6" ht="12.75">
      <c r="A45" s="971"/>
      <c r="B45" s="218" t="s">
        <v>1021</v>
      </c>
      <c r="C45" s="222">
        <v>2</v>
      </c>
      <c r="D45" s="222" t="s">
        <v>1025</v>
      </c>
      <c r="E45" s="218" t="s">
        <v>1013</v>
      </c>
      <c r="F45" s="218" t="s">
        <v>1024</v>
      </c>
    </row>
    <row r="46" spans="1:6" ht="12.75">
      <c r="A46" s="971"/>
      <c r="B46" s="218" t="s">
        <v>482</v>
      </c>
      <c r="C46" s="222">
        <v>1</v>
      </c>
      <c r="D46" s="575">
        <v>43191</v>
      </c>
      <c r="E46" s="218" t="s">
        <v>1013</v>
      </c>
      <c r="F46" s="218" t="s">
        <v>1024</v>
      </c>
    </row>
    <row r="47" spans="1:6" ht="12.75">
      <c r="A47" s="218" t="s">
        <v>350</v>
      </c>
      <c r="B47" s="218"/>
      <c r="C47" s="222"/>
      <c r="D47" s="222"/>
      <c r="E47" s="218"/>
      <c r="F47" s="218"/>
    </row>
    <row r="48" spans="1:6" ht="12.75">
      <c r="A48" s="218" t="s">
        <v>351</v>
      </c>
      <c r="B48" s="218"/>
      <c r="C48" s="222"/>
      <c r="D48" s="222"/>
      <c r="E48" s="218"/>
      <c r="F48" s="218"/>
    </row>
    <row r="49" spans="1:6" ht="12.75">
      <c r="A49" s="218" t="s">
        <v>352</v>
      </c>
      <c r="B49" s="218"/>
      <c r="C49" s="222"/>
      <c r="D49" s="222"/>
      <c r="E49" s="218"/>
      <c r="F49" s="218"/>
    </row>
    <row r="50" spans="1:6" ht="12.75">
      <c r="A50" s="218" t="s">
        <v>353</v>
      </c>
      <c r="B50" s="218"/>
      <c r="C50" s="222"/>
      <c r="D50" s="222"/>
      <c r="E50" s="218"/>
      <c r="F50" s="218"/>
    </row>
    <row r="51" spans="1:6" ht="12.75">
      <c r="A51" s="969" t="s">
        <v>354</v>
      </c>
      <c r="B51" s="218" t="s">
        <v>481</v>
      </c>
      <c r="C51" s="222">
        <v>1</v>
      </c>
      <c r="D51" s="575">
        <v>43221</v>
      </c>
      <c r="E51" s="218" t="s">
        <v>1013</v>
      </c>
      <c r="F51" s="218" t="s">
        <v>1016</v>
      </c>
    </row>
    <row r="52" spans="1:6" ht="12.75">
      <c r="A52" s="970"/>
      <c r="B52" s="218" t="s">
        <v>1018</v>
      </c>
      <c r="C52" s="222">
        <v>1</v>
      </c>
      <c r="D52" s="575">
        <v>43252</v>
      </c>
      <c r="E52" s="218" t="s">
        <v>1013</v>
      </c>
      <c r="F52" s="218" t="s">
        <v>1026</v>
      </c>
    </row>
    <row r="53" spans="1:6" ht="12.75">
      <c r="A53" s="970"/>
      <c r="B53" s="218" t="s">
        <v>483</v>
      </c>
      <c r="C53" s="222">
        <v>1</v>
      </c>
      <c r="D53" s="575">
        <v>43344</v>
      </c>
      <c r="E53" s="218" t="s">
        <v>1013</v>
      </c>
      <c r="F53" s="218" t="s">
        <v>1024</v>
      </c>
    </row>
    <row r="54" spans="1:6" ht="15">
      <c r="A54" s="972"/>
      <c r="B54" s="218" t="s">
        <v>478</v>
      </c>
      <c r="C54" s="222">
        <v>1</v>
      </c>
      <c r="D54" s="575">
        <v>43313</v>
      </c>
      <c r="E54" s="218" t="s">
        <v>1013</v>
      </c>
      <c r="F54" s="576" t="s">
        <v>1027</v>
      </c>
    </row>
    <row r="55" spans="1:6" ht="12.75">
      <c r="A55" s="969" t="s">
        <v>44</v>
      </c>
      <c r="B55" s="218" t="s">
        <v>1028</v>
      </c>
      <c r="C55" s="222">
        <v>1</v>
      </c>
      <c r="D55" s="575">
        <v>43191</v>
      </c>
      <c r="E55" s="218" t="s">
        <v>1013</v>
      </c>
      <c r="F55" s="218" t="s">
        <v>1016</v>
      </c>
    </row>
    <row r="56" spans="1:6" ht="12.75">
      <c r="A56" s="970"/>
      <c r="B56" s="218" t="s">
        <v>483</v>
      </c>
      <c r="C56" s="222">
        <v>1</v>
      </c>
      <c r="D56" s="575">
        <v>43191</v>
      </c>
      <c r="E56" s="218" t="s">
        <v>1029</v>
      </c>
      <c r="F56" s="218" t="s">
        <v>1016</v>
      </c>
    </row>
    <row r="57" spans="1:6" ht="15">
      <c r="A57" s="970"/>
      <c r="B57" s="218" t="s">
        <v>479</v>
      </c>
      <c r="C57" s="222">
        <v>1</v>
      </c>
      <c r="D57" s="575">
        <v>43191</v>
      </c>
      <c r="E57" s="218" t="s">
        <v>1013</v>
      </c>
      <c r="F57" s="412" t="s">
        <v>1022</v>
      </c>
    </row>
    <row r="58" spans="1:6" ht="12.75">
      <c r="A58" s="970"/>
      <c r="B58" s="218" t="s">
        <v>478</v>
      </c>
      <c r="C58" s="222">
        <v>1</v>
      </c>
      <c r="D58" s="575">
        <v>43252</v>
      </c>
      <c r="E58" s="218" t="s">
        <v>1013</v>
      </c>
      <c r="F58" s="218" t="s">
        <v>1024</v>
      </c>
    </row>
    <row r="59" spans="1:6" ht="12.75">
      <c r="A59" s="970"/>
      <c r="B59" s="218" t="s">
        <v>482</v>
      </c>
      <c r="C59" s="222">
        <v>1</v>
      </c>
      <c r="D59" s="575">
        <v>43282</v>
      </c>
      <c r="E59" s="218" t="s">
        <v>1013</v>
      </c>
      <c r="F59" s="218" t="s">
        <v>1024</v>
      </c>
    </row>
    <row r="60" spans="1:6" ht="15">
      <c r="A60" s="970"/>
      <c r="B60" s="218" t="s">
        <v>1018</v>
      </c>
      <c r="C60" s="222">
        <v>1</v>
      </c>
      <c r="D60" s="575">
        <v>43282</v>
      </c>
      <c r="E60" s="218" t="s">
        <v>1019</v>
      </c>
      <c r="F60" s="412" t="s">
        <v>1016</v>
      </c>
    </row>
    <row r="61" spans="1:6" ht="15">
      <c r="A61" s="970"/>
      <c r="B61" s="218" t="s">
        <v>480</v>
      </c>
      <c r="C61" s="222">
        <v>1</v>
      </c>
      <c r="D61" s="575">
        <v>43313</v>
      </c>
      <c r="E61" s="218" t="s">
        <v>1013</v>
      </c>
      <c r="F61" s="412" t="s">
        <v>1022</v>
      </c>
    </row>
    <row r="62" spans="1:6" ht="12.75">
      <c r="A62" s="970"/>
      <c r="B62" s="218" t="s">
        <v>1021</v>
      </c>
      <c r="C62" s="222">
        <v>1</v>
      </c>
      <c r="D62" s="575">
        <v>43344</v>
      </c>
      <c r="E62" s="218" t="s">
        <v>1013</v>
      </c>
      <c r="F62" s="580" t="s">
        <v>1014</v>
      </c>
    </row>
    <row r="63" spans="1:6" s="16" customFormat="1" ht="15">
      <c r="A63" s="577" t="s">
        <v>15</v>
      </c>
      <c r="B63" s="578"/>
      <c r="C63" s="577">
        <v>29</v>
      </c>
      <c r="D63" s="577"/>
      <c r="E63" s="579"/>
      <c r="F63" s="579"/>
    </row>
    <row r="67" spans="1:7" ht="15" customHeight="1">
      <c r="A67" s="188"/>
      <c r="B67" s="188"/>
      <c r="C67" s="188"/>
      <c r="E67" s="189"/>
      <c r="F67" s="201"/>
      <c r="G67" s="189"/>
    </row>
    <row r="68" spans="1:7" ht="15" customHeight="1">
      <c r="A68" s="188"/>
      <c r="B68" s="188"/>
      <c r="C68" s="188"/>
      <c r="E68" s="743" t="s">
        <v>819</v>
      </c>
      <c r="F68" s="743"/>
      <c r="G68" s="189"/>
    </row>
    <row r="69" spans="1:7" ht="15" customHeight="1">
      <c r="A69" s="188"/>
      <c r="B69" s="188"/>
      <c r="C69" s="188"/>
      <c r="E69" s="743" t="s">
        <v>488</v>
      </c>
      <c r="F69" s="743"/>
      <c r="G69" s="189"/>
    </row>
    <row r="70" spans="1:7" ht="12.75">
      <c r="A70" s="188" t="s">
        <v>11</v>
      </c>
      <c r="C70" s="188"/>
      <c r="E70" s="333" t="s">
        <v>80</v>
      </c>
      <c r="F70" s="190"/>
      <c r="G70" s="192"/>
    </row>
  </sheetData>
  <sheetProtection/>
  <mergeCells count="14">
    <mergeCell ref="E68:F68"/>
    <mergeCell ref="E69:F69"/>
    <mergeCell ref="A55:A62"/>
    <mergeCell ref="A44:A46"/>
    <mergeCell ref="A25:A29"/>
    <mergeCell ref="A38:A41"/>
    <mergeCell ref="A51:A54"/>
    <mergeCell ref="A35:A37"/>
    <mergeCell ref="F1:G1"/>
    <mergeCell ref="A2:G2"/>
    <mergeCell ref="A3:G3"/>
    <mergeCell ref="A5:G5"/>
    <mergeCell ref="A22:G22"/>
    <mergeCell ref="E23:G23"/>
  </mergeCells>
  <printOptions horizontalCentered="1"/>
  <pageMargins left="0.7086614173228347" right="0.19" top="0.24" bottom="0.28" header="0.18" footer="0.19"/>
  <pageSetup fitToHeight="1" fitToWidth="1" horizontalDpi="600" verticalDpi="600" orientation="landscape" paperSize="9" scale="57" r:id="rId1"/>
</worksheet>
</file>

<file path=xl/worksheets/sheet54.xml><?xml version="1.0" encoding="utf-8"?>
<worksheet xmlns="http://schemas.openxmlformats.org/spreadsheetml/2006/main" xmlns:r="http://schemas.openxmlformats.org/officeDocument/2006/relationships">
  <dimension ref="B4:H18"/>
  <sheetViews>
    <sheetView zoomScalePageLayoutView="0" workbookViewId="0" topLeftCell="A4">
      <selection activeCell="B19" sqref="B19"/>
    </sheetView>
  </sheetViews>
  <sheetFormatPr defaultColWidth="9.140625" defaultRowHeight="12.75"/>
  <sheetData>
    <row r="1" ht="37.5" customHeight="1"/>
    <row r="2" ht="37.5" customHeight="1"/>
    <row r="3" ht="37.5" customHeight="1"/>
    <row r="4" spans="2:8" ht="48" customHeight="1">
      <c r="B4" s="643" t="s">
        <v>964</v>
      </c>
      <c r="C4" s="643"/>
      <c r="D4" s="643"/>
      <c r="E4" s="643"/>
      <c r="F4" s="643"/>
      <c r="G4" s="643"/>
      <c r="H4" s="643"/>
    </row>
    <row r="5" spans="2:8" ht="12.75" customHeight="1">
      <c r="B5" s="643"/>
      <c r="C5" s="643"/>
      <c r="D5" s="643"/>
      <c r="E5" s="643"/>
      <c r="F5" s="643"/>
      <c r="G5" s="643"/>
      <c r="H5" s="643"/>
    </row>
    <row r="6" spans="2:8" ht="12.75" customHeight="1">
      <c r="B6" s="643"/>
      <c r="C6" s="643"/>
      <c r="D6" s="643"/>
      <c r="E6" s="643"/>
      <c r="F6" s="643"/>
      <c r="G6" s="643"/>
      <c r="H6" s="643"/>
    </row>
    <row r="7" spans="2:8" ht="12.75" customHeight="1">
      <c r="B7" s="643"/>
      <c r="C7" s="643"/>
      <c r="D7" s="643"/>
      <c r="E7" s="643"/>
      <c r="F7" s="643"/>
      <c r="G7" s="643"/>
      <c r="H7" s="643"/>
    </row>
    <row r="8" spans="2:8" ht="12.75" customHeight="1">
      <c r="B8" s="643"/>
      <c r="C8" s="643"/>
      <c r="D8" s="643"/>
      <c r="E8" s="643"/>
      <c r="F8" s="643"/>
      <c r="G8" s="643"/>
      <c r="H8" s="643"/>
    </row>
    <row r="9" spans="2:8" ht="12.75" customHeight="1">
      <c r="B9" s="643"/>
      <c r="C9" s="643"/>
      <c r="D9" s="643"/>
      <c r="E9" s="643"/>
      <c r="F9" s="643"/>
      <c r="G9" s="643"/>
      <c r="H9" s="643"/>
    </row>
    <row r="10" spans="2:8" ht="12.75" customHeight="1">
      <c r="B10" s="643"/>
      <c r="C10" s="643"/>
      <c r="D10" s="643"/>
      <c r="E10" s="643"/>
      <c r="F10" s="643"/>
      <c r="G10" s="643"/>
      <c r="H10" s="643"/>
    </row>
    <row r="11" spans="2:8" ht="12.75" customHeight="1">
      <c r="B11" s="643"/>
      <c r="C11" s="643"/>
      <c r="D11" s="643"/>
      <c r="E11" s="643"/>
      <c r="F11" s="643"/>
      <c r="G11" s="643"/>
      <c r="H11" s="643"/>
    </row>
    <row r="12" spans="2:8" ht="12.75" customHeight="1">
      <c r="B12" s="643"/>
      <c r="C12" s="643"/>
      <c r="D12" s="643"/>
      <c r="E12" s="643"/>
      <c r="F12" s="643"/>
      <c r="G12" s="643"/>
      <c r="H12" s="643"/>
    </row>
    <row r="13" spans="2:8" ht="12.75" customHeight="1">
      <c r="B13" s="643"/>
      <c r="C13" s="643"/>
      <c r="D13" s="643"/>
      <c r="E13" s="643"/>
      <c r="F13" s="643"/>
      <c r="G13" s="643"/>
      <c r="H13" s="643"/>
    </row>
    <row r="14" spans="2:8" ht="12.75" customHeight="1">
      <c r="B14" s="643"/>
      <c r="C14" s="643"/>
      <c r="D14" s="643"/>
      <c r="E14" s="643"/>
      <c r="F14" s="643"/>
      <c r="G14" s="643"/>
      <c r="H14" s="643"/>
    </row>
    <row r="15" spans="2:8" ht="12.75" customHeight="1">
      <c r="B15" s="643"/>
      <c r="C15" s="643"/>
      <c r="D15" s="643"/>
      <c r="E15" s="643"/>
      <c r="F15" s="643"/>
      <c r="G15" s="643"/>
      <c r="H15" s="643"/>
    </row>
    <row r="16" spans="2:8" ht="12.75" customHeight="1">
      <c r="B16" s="643"/>
      <c r="C16" s="643"/>
      <c r="D16" s="643"/>
      <c r="E16" s="643"/>
      <c r="F16" s="643"/>
      <c r="G16" s="643"/>
      <c r="H16" s="643"/>
    </row>
    <row r="17" spans="2:8" ht="12.75" customHeight="1">
      <c r="B17" s="643"/>
      <c r="C17" s="643"/>
      <c r="D17" s="643"/>
      <c r="E17" s="643"/>
      <c r="F17" s="643"/>
      <c r="G17" s="643"/>
      <c r="H17" s="643"/>
    </row>
    <row r="18" spans="2:8" ht="12.75" customHeight="1">
      <c r="B18" s="643"/>
      <c r="C18" s="643"/>
      <c r="D18" s="643"/>
      <c r="E18" s="643"/>
      <c r="F18" s="643"/>
      <c r="G18" s="643"/>
      <c r="H18" s="643"/>
    </row>
  </sheetData>
  <sheetProtection/>
  <mergeCells count="1">
    <mergeCell ref="B4:H18"/>
  </mergeCells>
  <printOptions/>
  <pageMargins left="1" right="0.7" top="1.87"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pageSetUpPr fitToPage="1"/>
  </sheetPr>
  <dimension ref="A1:T34"/>
  <sheetViews>
    <sheetView view="pageBreakPreview" zoomScale="85" zoomScaleSheetLayoutView="85" zoomScalePageLayoutView="0" workbookViewId="0" topLeftCell="A1">
      <selection activeCell="K10" sqref="K10"/>
    </sheetView>
  </sheetViews>
  <sheetFormatPr defaultColWidth="9.140625" defaultRowHeight="12.75"/>
  <cols>
    <col min="1" max="1" width="4.7109375" style="50" customWidth="1"/>
    <col min="2" max="2" width="11.8515625" style="50" customWidth="1"/>
    <col min="3" max="3" width="11.7109375" style="50" customWidth="1"/>
    <col min="4" max="4" width="12.00390625" style="50" customWidth="1"/>
    <col min="5" max="5" width="12.140625" style="50" customWidth="1"/>
    <col min="6" max="6" width="13.8515625" style="50" customWidth="1"/>
    <col min="7" max="7" width="12.421875" style="50" customWidth="1"/>
    <col min="8" max="8" width="13.28125" style="50" customWidth="1"/>
    <col min="9" max="9" width="12.7109375" style="50" customWidth="1"/>
    <col min="10" max="10" width="15.00390625" style="50" customWidth="1"/>
    <col min="11" max="11" width="16.00390625" style="50" customWidth="1"/>
    <col min="12" max="12" width="11.8515625" style="50" customWidth="1"/>
    <col min="13" max="16384" width="9.140625" style="50" customWidth="1"/>
  </cols>
  <sheetData>
    <row r="1" spans="3:12" ht="15" customHeight="1">
      <c r="C1" s="642"/>
      <c r="D1" s="642"/>
      <c r="E1" s="642"/>
      <c r="F1" s="642"/>
      <c r="G1" s="642"/>
      <c r="H1" s="642"/>
      <c r="I1" s="153"/>
      <c r="J1" s="744" t="s">
        <v>734</v>
      </c>
      <c r="K1" s="744"/>
      <c r="L1" s="744"/>
    </row>
    <row r="2" spans="1:12" s="56" customFormat="1" ht="19.5" customHeight="1">
      <c r="A2" s="979" t="s">
        <v>0</v>
      </c>
      <c r="B2" s="979"/>
      <c r="C2" s="979"/>
      <c r="D2" s="979"/>
      <c r="E2" s="979"/>
      <c r="F2" s="979"/>
      <c r="G2" s="979"/>
      <c r="H2" s="979"/>
      <c r="I2" s="979"/>
      <c r="J2" s="979"/>
      <c r="K2" s="979"/>
      <c r="L2" s="979"/>
    </row>
    <row r="3" spans="1:12" s="56" customFormat="1" ht="19.5" customHeight="1">
      <c r="A3" s="978" t="s">
        <v>854</v>
      </c>
      <c r="B3" s="978"/>
      <c r="C3" s="978"/>
      <c r="D3" s="978"/>
      <c r="E3" s="978"/>
      <c r="F3" s="978"/>
      <c r="G3" s="978"/>
      <c r="H3" s="978"/>
      <c r="I3" s="978"/>
      <c r="J3" s="978"/>
      <c r="K3" s="978"/>
      <c r="L3" s="978"/>
    </row>
    <row r="4" spans="1:11" s="56" customFormat="1" ht="14.25" customHeight="1">
      <c r="A4" s="65"/>
      <c r="B4" s="65"/>
      <c r="C4" s="65"/>
      <c r="D4" s="65"/>
      <c r="E4" s="65"/>
      <c r="F4" s="65"/>
      <c r="G4" s="65"/>
      <c r="H4" s="65"/>
      <c r="I4" s="65"/>
      <c r="J4" s="65"/>
      <c r="K4" s="65"/>
    </row>
    <row r="5" spans="1:12" s="56" customFormat="1" ht="18" customHeight="1">
      <c r="A5" s="865" t="s">
        <v>965</v>
      </c>
      <c r="B5" s="865"/>
      <c r="C5" s="865"/>
      <c r="D5" s="865"/>
      <c r="E5" s="865"/>
      <c r="F5" s="865"/>
      <c r="G5" s="865"/>
      <c r="H5" s="865"/>
      <c r="I5" s="865"/>
      <c r="J5" s="865"/>
      <c r="K5" s="865"/>
      <c r="L5" s="865"/>
    </row>
    <row r="6" spans="1:11" ht="15.75">
      <c r="A6" s="699" t="s">
        <v>475</v>
      </c>
      <c r="B6" s="699"/>
      <c r="C6" s="108"/>
      <c r="D6" s="108"/>
      <c r="E6" s="108"/>
      <c r="F6" s="108"/>
      <c r="G6" s="108"/>
      <c r="H6" s="108"/>
      <c r="I6" s="108"/>
      <c r="J6" s="108"/>
      <c r="K6" s="108"/>
    </row>
    <row r="7" spans="1:20" s="288" customFormat="1" ht="18.75" customHeight="1">
      <c r="A7" s="973" t="s">
        <v>70</v>
      </c>
      <c r="B7" s="973" t="s">
        <v>71</v>
      </c>
      <c r="C7" s="973" t="s">
        <v>72</v>
      </c>
      <c r="D7" s="973" t="s">
        <v>158</v>
      </c>
      <c r="E7" s="973"/>
      <c r="F7" s="973"/>
      <c r="G7" s="973"/>
      <c r="H7" s="973"/>
      <c r="I7" s="974" t="s">
        <v>241</v>
      </c>
      <c r="J7" s="973" t="s">
        <v>73</v>
      </c>
      <c r="K7" s="973" t="s">
        <v>428</v>
      </c>
      <c r="L7" s="977" t="s">
        <v>74</v>
      </c>
      <c r="S7" s="289"/>
      <c r="T7" s="289"/>
    </row>
    <row r="8" spans="1:12" s="288" customFormat="1" ht="30.75" customHeight="1">
      <c r="A8" s="973"/>
      <c r="B8" s="973"/>
      <c r="C8" s="973"/>
      <c r="D8" s="973" t="s">
        <v>75</v>
      </c>
      <c r="E8" s="973" t="s">
        <v>76</v>
      </c>
      <c r="F8" s="973"/>
      <c r="G8" s="973"/>
      <c r="H8" s="974" t="s">
        <v>77</v>
      </c>
      <c r="I8" s="975"/>
      <c r="J8" s="973"/>
      <c r="K8" s="973"/>
      <c r="L8" s="977"/>
    </row>
    <row r="9" spans="1:12" s="288" customFormat="1" ht="45">
      <c r="A9" s="973"/>
      <c r="B9" s="973"/>
      <c r="C9" s="973"/>
      <c r="D9" s="973"/>
      <c r="E9" s="255" t="s">
        <v>78</v>
      </c>
      <c r="F9" s="255" t="s">
        <v>79</v>
      </c>
      <c r="G9" s="255" t="s">
        <v>15</v>
      </c>
      <c r="H9" s="976"/>
      <c r="I9" s="976"/>
      <c r="J9" s="973"/>
      <c r="K9" s="973"/>
      <c r="L9" s="977"/>
    </row>
    <row r="10" spans="1:12" s="141" customFormat="1" ht="15" customHeight="1">
      <c r="A10" s="140">
        <v>1</v>
      </c>
      <c r="B10" s="140">
        <v>2</v>
      </c>
      <c r="C10" s="140">
        <v>3</v>
      </c>
      <c r="D10" s="140">
        <v>4</v>
      </c>
      <c r="E10" s="140">
        <v>5</v>
      </c>
      <c r="F10" s="140">
        <v>6</v>
      </c>
      <c r="G10" s="140">
        <v>7</v>
      </c>
      <c r="H10" s="140">
        <v>8</v>
      </c>
      <c r="I10" s="140">
        <v>9</v>
      </c>
      <c r="J10" s="140">
        <v>10</v>
      </c>
      <c r="K10" s="140">
        <v>11</v>
      </c>
      <c r="L10" s="140">
        <v>12</v>
      </c>
    </row>
    <row r="11" spans="1:12" ht="15.75" customHeight="1">
      <c r="A11" s="58">
        <v>1</v>
      </c>
      <c r="B11" s="441">
        <v>43556</v>
      </c>
      <c r="C11" s="54">
        <v>30</v>
      </c>
      <c r="D11" s="53">
        <v>4</v>
      </c>
      <c r="E11" s="53">
        <v>4</v>
      </c>
      <c r="F11" s="53">
        <v>6</v>
      </c>
      <c r="G11" s="53">
        <f>SUM(E11:F11)</f>
        <v>10</v>
      </c>
      <c r="H11" s="53">
        <f>D11+G11</f>
        <v>14</v>
      </c>
      <c r="I11" s="53">
        <f>C11-H11</f>
        <v>16</v>
      </c>
      <c r="J11" s="53">
        <f>C11-H11</f>
        <v>16</v>
      </c>
      <c r="K11" s="53">
        <v>0</v>
      </c>
      <c r="L11" s="53"/>
    </row>
    <row r="12" spans="1:12" ht="15.75" customHeight="1">
      <c r="A12" s="58">
        <v>2</v>
      </c>
      <c r="B12" s="441">
        <v>43586</v>
      </c>
      <c r="C12" s="54">
        <v>31</v>
      </c>
      <c r="D12" s="53">
        <v>16</v>
      </c>
      <c r="E12" s="53">
        <v>4</v>
      </c>
      <c r="F12" s="53">
        <v>3</v>
      </c>
      <c r="G12" s="53">
        <f aca="true" t="shared" si="0" ref="G12:G22">SUM(E12:F12)</f>
        <v>7</v>
      </c>
      <c r="H12" s="53">
        <f aca="true" t="shared" si="1" ref="H12:H22">D12+G12</f>
        <v>23</v>
      </c>
      <c r="I12" s="53">
        <f aca="true" t="shared" si="2" ref="I12:I22">C12-H12</f>
        <v>8</v>
      </c>
      <c r="J12" s="53">
        <f aca="true" t="shared" si="3" ref="J12:J22">C12-H12</f>
        <v>8</v>
      </c>
      <c r="K12" s="53">
        <v>0</v>
      </c>
      <c r="L12" s="53"/>
    </row>
    <row r="13" spans="1:12" ht="15.75" customHeight="1">
      <c r="A13" s="58">
        <v>3</v>
      </c>
      <c r="B13" s="441">
        <v>43617</v>
      </c>
      <c r="C13" s="54">
        <v>30</v>
      </c>
      <c r="D13" s="53">
        <v>0</v>
      </c>
      <c r="E13" s="53">
        <v>5</v>
      </c>
      <c r="F13" s="53">
        <v>3</v>
      </c>
      <c r="G13" s="53">
        <f t="shared" si="0"/>
        <v>8</v>
      </c>
      <c r="H13" s="53">
        <f t="shared" si="1"/>
        <v>8</v>
      </c>
      <c r="I13" s="53">
        <f t="shared" si="2"/>
        <v>22</v>
      </c>
      <c r="J13" s="53">
        <f t="shared" si="3"/>
        <v>22</v>
      </c>
      <c r="K13" s="53">
        <v>0</v>
      </c>
      <c r="L13" s="53"/>
    </row>
    <row r="14" spans="1:12" ht="15.75" customHeight="1">
      <c r="A14" s="58">
        <v>4</v>
      </c>
      <c r="B14" s="441">
        <v>43647</v>
      </c>
      <c r="C14" s="54">
        <v>31</v>
      </c>
      <c r="D14" s="53">
        <v>0</v>
      </c>
      <c r="E14" s="53">
        <v>4</v>
      </c>
      <c r="F14" s="53">
        <v>6</v>
      </c>
      <c r="G14" s="53">
        <f t="shared" si="0"/>
        <v>10</v>
      </c>
      <c r="H14" s="53">
        <f t="shared" si="1"/>
        <v>10</v>
      </c>
      <c r="I14" s="53">
        <f t="shared" si="2"/>
        <v>21</v>
      </c>
      <c r="J14" s="53">
        <f t="shared" si="3"/>
        <v>21</v>
      </c>
      <c r="K14" s="53">
        <v>0</v>
      </c>
      <c r="L14" s="53"/>
    </row>
    <row r="15" spans="1:12" ht="15.75" customHeight="1">
      <c r="A15" s="58">
        <v>5</v>
      </c>
      <c r="B15" s="441">
        <v>43678</v>
      </c>
      <c r="C15" s="54">
        <v>31</v>
      </c>
      <c r="D15" s="53">
        <v>0</v>
      </c>
      <c r="E15" s="53">
        <v>4</v>
      </c>
      <c r="F15" s="53">
        <v>6</v>
      </c>
      <c r="G15" s="53">
        <f t="shared" si="0"/>
        <v>10</v>
      </c>
      <c r="H15" s="53">
        <f t="shared" si="1"/>
        <v>10</v>
      </c>
      <c r="I15" s="53">
        <f t="shared" si="2"/>
        <v>21</v>
      </c>
      <c r="J15" s="53">
        <f t="shared" si="3"/>
        <v>21</v>
      </c>
      <c r="K15" s="53">
        <v>0</v>
      </c>
      <c r="L15" s="53"/>
    </row>
    <row r="16" spans="1:12" s="57" customFormat="1" ht="15.75" customHeight="1">
      <c r="A16" s="58">
        <v>6</v>
      </c>
      <c r="B16" s="441">
        <v>43709</v>
      </c>
      <c r="C16" s="58">
        <v>30</v>
      </c>
      <c r="D16" s="59">
        <v>0</v>
      </c>
      <c r="E16" s="59">
        <v>5</v>
      </c>
      <c r="F16" s="59">
        <v>7</v>
      </c>
      <c r="G16" s="53">
        <f t="shared" si="0"/>
        <v>12</v>
      </c>
      <c r="H16" s="53">
        <f t="shared" si="1"/>
        <v>12</v>
      </c>
      <c r="I16" s="53">
        <f t="shared" si="2"/>
        <v>18</v>
      </c>
      <c r="J16" s="53">
        <f t="shared" si="3"/>
        <v>18</v>
      </c>
      <c r="K16" s="53">
        <v>0</v>
      </c>
      <c r="L16" s="59"/>
    </row>
    <row r="17" spans="1:12" s="57" customFormat="1" ht="15.75" customHeight="1">
      <c r="A17" s="58">
        <v>7</v>
      </c>
      <c r="B17" s="441">
        <v>43739</v>
      </c>
      <c r="C17" s="58">
        <v>31</v>
      </c>
      <c r="D17" s="59">
        <v>10</v>
      </c>
      <c r="E17" s="59">
        <v>4</v>
      </c>
      <c r="F17" s="59">
        <v>3</v>
      </c>
      <c r="G17" s="53">
        <f t="shared" si="0"/>
        <v>7</v>
      </c>
      <c r="H17" s="53">
        <f t="shared" si="1"/>
        <v>17</v>
      </c>
      <c r="I17" s="53">
        <f t="shared" si="2"/>
        <v>14</v>
      </c>
      <c r="J17" s="53">
        <f t="shared" si="3"/>
        <v>14</v>
      </c>
      <c r="K17" s="53">
        <v>0</v>
      </c>
      <c r="L17" s="59"/>
    </row>
    <row r="18" spans="1:12" s="57" customFormat="1" ht="15.75" customHeight="1">
      <c r="A18" s="58">
        <v>8</v>
      </c>
      <c r="B18" s="441">
        <v>43770</v>
      </c>
      <c r="C18" s="58">
        <v>30</v>
      </c>
      <c r="D18" s="59">
        <v>0</v>
      </c>
      <c r="E18" s="59">
        <v>4</v>
      </c>
      <c r="F18" s="59">
        <v>3</v>
      </c>
      <c r="G18" s="53">
        <f t="shared" si="0"/>
        <v>7</v>
      </c>
      <c r="H18" s="53">
        <f t="shared" si="1"/>
        <v>7</v>
      </c>
      <c r="I18" s="53">
        <f t="shared" si="2"/>
        <v>23</v>
      </c>
      <c r="J18" s="53">
        <f t="shared" si="3"/>
        <v>23</v>
      </c>
      <c r="K18" s="53">
        <v>0</v>
      </c>
      <c r="L18" s="59"/>
    </row>
    <row r="19" spans="1:12" s="57" customFormat="1" ht="15.75" customHeight="1">
      <c r="A19" s="58">
        <v>9</v>
      </c>
      <c r="B19" s="441">
        <v>43800</v>
      </c>
      <c r="C19" s="58">
        <v>31</v>
      </c>
      <c r="D19" s="59">
        <v>0</v>
      </c>
      <c r="E19" s="59">
        <v>5</v>
      </c>
      <c r="F19" s="59">
        <v>3</v>
      </c>
      <c r="G19" s="53">
        <f t="shared" si="0"/>
        <v>8</v>
      </c>
      <c r="H19" s="53">
        <f t="shared" si="1"/>
        <v>8</v>
      </c>
      <c r="I19" s="53">
        <f t="shared" si="2"/>
        <v>23</v>
      </c>
      <c r="J19" s="53">
        <f t="shared" si="3"/>
        <v>23</v>
      </c>
      <c r="K19" s="53">
        <v>0</v>
      </c>
      <c r="L19" s="59"/>
    </row>
    <row r="20" spans="1:12" s="57" customFormat="1" ht="15.75" customHeight="1">
      <c r="A20" s="58">
        <v>10</v>
      </c>
      <c r="B20" s="441">
        <v>43831</v>
      </c>
      <c r="C20" s="58">
        <v>31</v>
      </c>
      <c r="D20" s="59">
        <v>0</v>
      </c>
      <c r="E20" s="59">
        <v>4</v>
      </c>
      <c r="F20" s="59">
        <v>5</v>
      </c>
      <c r="G20" s="53">
        <f t="shared" si="0"/>
        <v>9</v>
      </c>
      <c r="H20" s="53">
        <f t="shared" si="1"/>
        <v>9</v>
      </c>
      <c r="I20" s="53">
        <f t="shared" si="2"/>
        <v>22</v>
      </c>
      <c r="J20" s="53">
        <f t="shared" si="3"/>
        <v>22</v>
      </c>
      <c r="K20" s="53">
        <v>0</v>
      </c>
      <c r="L20" s="59"/>
    </row>
    <row r="21" spans="1:12" s="57" customFormat="1" ht="15.75" customHeight="1">
      <c r="A21" s="58">
        <v>11</v>
      </c>
      <c r="B21" s="441">
        <v>43862</v>
      </c>
      <c r="C21" s="58">
        <v>29</v>
      </c>
      <c r="D21" s="59">
        <v>0</v>
      </c>
      <c r="E21" s="59">
        <v>4</v>
      </c>
      <c r="F21" s="59">
        <v>4</v>
      </c>
      <c r="G21" s="53">
        <f t="shared" si="0"/>
        <v>8</v>
      </c>
      <c r="H21" s="53">
        <f t="shared" si="1"/>
        <v>8</v>
      </c>
      <c r="I21" s="53">
        <f t="shared" si="2"/>
        <v>21</v>
      </c>
      <c r="J21" s="53">
        <f t="shared" si="3"/>
        <v>21</v>
      </c>
      <c r="K21" s="53">
        <v>0</v>
      </c>
      <c r="L21" s="59"/>
    </row>
    <row r="22" spans="1:12" s="57" customFormat="1" ht="15.75" customHeight="1">
      <c r="A22" s="58">
        <v>12</v>
      </c>
      <c r="B22" s="441">
        <v>43891</v>
      </c>
      <c r="C22" s="58">
        <v>31</v>
      </c>
      <c r="D22" s="59">
        <v>0</v>
      </c>
      <c r="E22" s="59">
        <v>5</v>
      </c>
      <c r="F22" s="59">
        <v>5</v>
      </c>
      <c r="G22" s="53">
        <f t="shared" si="0"/>
        <v>10</v>
      </c>
      <c r="H22" s="53">
        <f t="shared" si="1"/>
        <v>10</v>
      </c>
      <c r="I22" s="53">
        <f t="shared" si="2"/>
        <v>21</v>
      </c>
      <c r="J22" s="53">
        <f t="shared" si="3"/>
        <v>21</v>
      </c>
      <c r="K22" s="53">
        <v>0</v>
      </c>
      <c r="L22" s="59"/>
    </row>
    <row r="23" spans="1:12" s="287" customFormat="1" ht="15.75" customHeight="1">
      <c r="A23" s="60"/>
      <c r="B23" s="61" t="s">
        <v>15</v>
      </c>
      <c r="C23" s="52">
        <f>SUM(C11:C22)</f>
        <v>366</v>
      </c>
      <c r="D23" s="440">
        <f aca="true" t="shared" si="4" ref="D23:J23">SUM(D11:D22)</f>
        <v>30</v>
      </c>
      <c r="E23" s="440">
        <f t="shared" si="4"/>
        <v>52</v>
      </c>
      <c r="F23" s="440">
        <f t="shared" si="4"/>
        <v>54</v>
      </c>
      <c r="G23" s="440">
        <f t="shared" si="4"/>
        <v>106</v>
      </c>
      <c r="H23" s="440">
        <f t="shared" si="4"/>
        <v>136</v>
      </c>
      <c r="I23" s="440">
        <f t="shared" si="4"/>
        <v>230</v>
      </c>
      <c r="J23" s="440">
        <f t="shared" si="4"/>
        <v>230</v>
      </c>
      <c r="K23" s="53">
        <v>0</v>
      </c>
      <c r="L23" s="60"/>
    </row>
    <row r="24" spans="1:11" s="57" customFormat="1" ht="11.25" customHeight="1">
      <c r="A24" s="62"/>
      <c r="B24" s="63"/>
      <c r="C24" s="64"/>
      <c r="D24" s="62"/>
      <c r="E24" s="62"/>
      <c r="F24" s="62"/>
      <c r="G24" s="62"/>
      <c r="H24" s="62"/>
      <c r="I24" s="62"/>
      <c r="J24" s="62"/>
      <c r="K24" s="62"/>
    </row>
    <row r="25" spans="1:11" ht="14.25">
      <c r="A25" s="50" t="s">
        <v>102</v>
      </c>
      <c r="K25" s="50" t="s">
        <v>10</v>
      </c>
    </row>
    <row r="26" spans="1:10" ht="15">
      <c r="A26" s="55"/>
      <c r="B26" s="55"/>
      <c r="C26" s="55"/>
      <c r="D26" s="55"/>
      <c r="E26" s="55"/>
      <c r="F26" s="55"/>
      <c r="G26" s="55"/>
      <c r="H26" s="55"/>
      <c r="I26" s="55"/>
      <c r="J26" s="55"/>
    </row>
    <row r="27" spans="1:10" ht="15">
      <c r="A27" s="55"/>
      <c r="B27" s="55"/>
      <c r="C27" s="55"/>
      <c r="D27" s="55"/>
      <c r="E27" s="55"/>
      <c r="F27" s="55"/>
      <c r="G27" s="55"/>
      <c r="H27" s="55"/>
      <c r="I27" s="55"/>
      <c r="J27" s="55"/>
    </row>
    <row r="28" spans="1:10" ht="15">
      <c r="A28" s="55"/>
      <c r="B28" s="55"/>
      <c r="C28" s="55"/>
      <c r="D28" s="55"/>
      <c r="E28" s="55"/>
      <c r="F28" s="55"/>
      <c r="G28" s="55"/>
      <c r="H28" s="55"/>
      <c r="I28" s="55"/>
      <c r="J28" s="55"/>
    </row>
    <row r="29" spans="1:10" ht="15">
      <c r="A29" s="55"/>
      <c r="B29" s="55"/>
      <c r="C29" s="55"/>
      <c r="D29" s="55"/>
      <c r="E29" s="55"/>
      <c r="F29" s="55"/>
      <c r="G29" s="55"/>
      <c r="H29" s="55"/>
      <c r="I29" s="55"/>
      <c r="J29" s="55"/>
    </row>
    <row r="30" spans="1:10" ht="15">
      <c r="A30" s="55"/>
      <c r="B30" s="55"/>
      <c r="C30" s="55"/>
      <c r="D30" s="55"/>
      <c r="E30" s="55"/>
      <c r="F30" s="55"/>
      <c r="G30" s="55"/>
      <c r="H30" s="55"/>
      <c r="I30" s="55"/>
      <c r="J30" s="55"/>
    </row>
    <row r="31" spans="1:11" ht="15">
      <c r="A31" s="55" t="s">
        <v>11</v>
      </c>
      <c r="B31" s="55"/>
      <c r="C31" s="55"/>
      <c r="D31" s="55"/>
      <c r="E31" s="55"/>
      <c r="F31" s="55" t="s">
        <v>10</v>
      </c>
      <c r="G31" s="55"/>
      <c r="H31" s="55"/>
      <c r="I31" s="55"/>
      <c r="J31" s="893"/>
      <c r="K31" s="893"/>
    </row>
    <row r="32" spans="2:11" ht="15" customHeight="1">
      <c r="B32" s="287"/>
      <c r="C32" s="287"/>
      <c r="D32" s="287"/>
      <c r="E32" s="287"/>
      <c r="F32" s="287"/>
      <c r="G32" s="287"/>
      <c r="H32" s="287"/>
      <c r="I32" s="287"/>
      <c r="J32" s="893" t="s">
        <v>819</v>
      </c>
      <c r="K32" s="893"/>
    </row>
    <row r="33" spans="2:11" ht="15" customHeight="1">
      <c r="B33" s="287"/>
      <c r="C33" s="287"/>
      <c r="D33" s="287"/>
      <c r="E33" s="287"/>
      <c r="F33" s="287"/>
      <c r="G33" s="287"/>
      <c r="H33" s="287"/>
      <c r="I33" s="287"/>
      <c r="J33" s="893" t="s">
        <v>488</v>
      </c>
      <c r="K33" s="893"/>
    </row>
    <row r="34" spans="1:11" ht="15">
      <c r="A34" s="55"/>
      <c r="B34" s="55"/>
      <c r="C34" s="55"/>
      <c r="D34" s="55"/>
      <c r="E34" s="55"/>
      <c r="F34" s="55"/>
      <c r="G34" s="55"/>
      <c r="I34" s="55"/>
      <c r="J34" s="55" t="s">
        <v>80</v>
      </c>
      <c r="K34" s="55"/>
    </row>
  </sheetData>
  <sheetProtection/>
  <mergeCells count="20">
    <mergeCell ref="A6:B6"/>
    <mergeCell ref="L7:L9"/>
    <mergeCell ref="A7:A9"/>
    <mergeCell ref="B7:B9"/>
    <mergeCell ref="C7:C9"/>
    <mergeCell ref="J1:L1"/>
    <mergeCell ref="A3:L3"/>
    <mergeCell ref="A2:L2"/>
    <mergeCell ref="A5:L5"/>
    <mergeCell ref="C1:H1"/>
    <mergeCell ref="J33:K33"/>
    <mergeCell ref="K7:K9"/>
    <mergeCell ref="D8:D9"/>
    <mergeCell ref="E8:G8"/>
    <mergeCell ref="I7:I9"/>
    <mergeCell ref="J31:K31"/>
    <mergeCell ref="D7:H7"/>
    <mergeCell ref="J7:J9"/>
    <mergeCell ref="H8:H9"/>
    <mergeCell ref="J32:K32"/>
  </mergeCells>
  <printOptions horizontalCentered="1"/>
  <pageMargins left="0.51" right="0.19" top="0.87" bottom="0" header="0.64" footer="0.31496062992125984"/>
  <pageSetup fitToHeight="1" fitToWidth="1" horizontalDpi="600" verticalDpi="600" orientation="landscape" paperSize="9" scale="92" r:id="rId1"/>
</worksheet>
</file>

<file path=xl/worksheets/sheet56.xml><?xml version="1.0" encoding="utf-8"?>
<worksheet xmlns="http://schemas.openxmlformats.org/spreadsheetml/2006/main" xmlns:r="http://schemas.openxmlformats.org/officeDocument/2006/relationships">
  <sheetPr>
    <pageSetUpPr fitToPage="1"/>
  </sheetPr>
  <dimension ref="A1:S34"/>
  <sheetViews>
    <sheetView view="pageBreakPreview" zoomScale="90" zoomScaleSheetLayoutView="90" zoomScalePageLayoutView="0" workbookViewId="0" topLeftCell="A1">
      <selection activeCell="K10" sqref="K10"/>
    </sheetView>
  </sheetViews>
  <sheetFormatPr defaultColWidth="9.140625" defaultRowHeight="12.75"/>
  <cols>
    <col min="1" max="1" width="4.7109375" style="50" customWidth="1"/>
    <col min="2" max="2" width="12.57421875" style="50" customWidth="1"/>
    <col min="3" max="3" width="11.7109375" style="50" customWidth="1"/>
    <col min="4" max="4" width="12.00390625" style="50" customWidth="1"/>
    <col min="5" max="5" width="11.8515625" style="50" customWidth="1"/>
    <col min="6" max="6" width="14.57421875" style="50" customWidth="1"/>
    <col min="7" max="7" width="11.421875" style="50" customWidth="1"/>
    <col min="8" max="8" width="14.7109375" style="50" customWidth="1"/>
    <col min="9" max="9" width="15.28125" style="50" customWidth="1"/>
    <col min="10" max="10" width="14.7109375" style="50" customWidth="1"/>
    <col min="11" max="11" width="13.7109375" style="50" customWidth="1"/>
    <col min="12" max="16384" width="9.140625" style="50" customWidth="1"/>
  </cols>
  <sheetData>
    <row r="1" spans="3:11" ht="15" customHeight="1">
      <c r="C1" s="642"/>
      <c r="D1" s="642"/>
      <c r="E1" s="642"/>
      <c r="F1" s="642"/>
      <c r="G1" s="642"/>
      <c r="H1" s="642"/>
      <c r="I1" s="153"/>
      <c r="J1" s="744" t="s">
        <v>735</v>
      </c>
      <c r="K1" s="744"/>
    </row>
    <row r="2" spans="1:10" s="56" customFormat="1" ht="19.5" customHeight="1">
      <c r="A2" s="979" t="s">
        <v>0</v>
      </c>
      <c r="B2" s="979"/>
      <c r="C2" s="979"/>
      <c r="D2" s="979"/>
      <c r="E2" s="979"/>
      <c r="F2" s="979"/>
      <c r="G2" s="979"/>
      <c r="H2" s="979"/>
      <c r="I2" s="979"/>
      <c r="J2" s="979"/>
    </row>
    <row r="3" spans="1:11" s="56" customFormat="1" ht="19.5" customHeight="1">
      <c r="A3" s="978" t="s">
        <v>854</v>
      </c>
      <c r="B3" s="978"/>
      <c r="C3" s="978"/>
      <c r="D3" s="978"/>
      <c r="E3" s="978"/>
      <c r="F3" s="978"/>
      <c r="G3" s="978"/>
      <c r="H3" s="978"/>
      <c r="I3" s="978"/>
      <c r="J3" s="978"/>
      <c r="K3" s="978"/>
    </row>
    <row r="4" spans="1:10" s="56" customFormat="1" ht="14.25" customHeight="1">
      <c r="A4" s="65"/>
      <c r="B4" s="65"/>
      <c r="C4" s="65"/>
      <c r="D4" s="65"/>
      <c r="E4" s="65"/>
      <c r="F4" s="65"/>
      <c r="G4" s="65"/>
      <c r="H4" s="65"/>
      <c r="I4" s="65"/>
      <c r="J4" s="65"/>
    </row>
    <row r="5" spans="1:10" s="56" customFormat="1" ht="18" customHeight="1">
      <c r="A5" s="865" t="s">
        <v>966</v>
      </c>
      <c r="B5" s="865"/>
      <c r="C5" s="865"/>
      <c r="D5" s="865"/>
      <c r="E5" s="865"/>
      <c r="F5" s="865"/>
      <c r="G5" s="865"/>
      <c r="H5" s="865"/>
      <c r="I5" s="865"/>
      <c r="J5" s="865"/>
    </row>
    <row r="6" spans="1:10" ht="15.75">
      <c r="A6" s="699" t="s">
        <v>475</v>
      </c>
      <c r="B6" s="699"/>
      <c r="C6" s="129"/>
      <c r="D6" s="129"/>
      <c r="E6" s="129"/>
      <c r="F6" s="129"/>
      <c r="G6" s="129"/>
      <c r="H6" s="129"/>
      <c r="I6" s="152"/>
      <c r="J6" s="152"/>
    </row>
    <row r="7" spans="1:11" s="400" customFormat="1" ht="19.5" customHeight="1">
      <c r="A7" s="973" t="s">
        <v>70</v>
      </c>
      <c r="B7" s="973" t="s">
        <v>71</v>
      </c>
      <c r="C7" s="973" t="s">
        <v>72</v>
      </c>
      <c r="D7" s="973" t="s">
        <v>159</v>
      </c>
      <c r="E7" s="973"/>
      <c r="F7" s="973"/>
      <c r="G7" s="973"/>
      <c r="H7" s="973"/>
      <c r="I7" s="974" t="s">
        <v>516</v>
      </c>
      <c r="J7" s="973" t="s">
        <v>73</v>
      </c>
      <c r="K7" s="973" t="s">
        <v>225</v>
      </c>
    </row>
    <row r="8" spans="1:19" s="400" customFormat="1" ht="24" customHeight="1">
      <c r="A8" s="973"/>
      <c r="B8" s="973"/>
      <c r="C8" s="973"/>
      <c r="D8" s="973" t="s">
        <v>75</v>
      </c>
      <c r="E8" s="973" t="s">
        <v>76</v>
      </c>
      <c r="F8" s="973"/>
      <c r="G8" s="973"/>
      <c r="H8" s="974" t="s">
        <v>77</v>
      </c>
      <c r="I8" s="975"/>
      <c r="J8" s="973"/>
      <c r="K8" s="973"/>
      <c r="R8" s="401"/>
      <c r="S8" s="401"/>
    </row>
    <row r="9" spans="1:11" s="400" customFormat="1" ht="38.25" customHeight="1">
      <c r="A9" s="973"/>
      <c r="B9" s="973"/>
      <c r="C9" s="973"/>
      <c r="D9" s="973"/>
      <c r="E9" s="255" t="s">
        <v>78</v>
      </c>
      <c r="F9" s="255" t="s">
        <v>79</v>
      </c>
      <c r="G9" s="255" t="s">
        <v>15</v>
      </c>
      <c r="H9" s="976"/>
      <c r="I9" s="976"/>
      <c r="J9" s="973"/>
      <c r="K9" s="973"/>
    </row>
    <row r="10" spans="1:11" s="57" customFormat="1" ht="14.25" customHeight="1">
      <c r="A10" s="52">
        <v>1</v>
      </c>
      <c r="B10" s="52">
        <v>2</v>
      </c>
      <c r="C10" s="52">
        <v>3</v>
      </c>
      <c r="D10" s="52">
        <v>4</v>
      </c>
      <c r="E10" s="52">
        <v>5</v>
      </c>
      <c r="F10" s="52">
        <v>6</v>
      </c>
      <c r="G10" s="52">
        <v>7</v>
      </c>
      <c r="H10" s="52">
        <v>8</v>
      </c>
      <c r="I10" s="52">
        <v>9</v>
      </c>
      <c r="J10" s="52">
        <v>10</v>
      </c>
      <c r="K10" s="52">
        <v>11</v>
      </c>
    </row>
    <row r="11" spans="1:11" ht="14.25" customHeight="1">
      <c r="A11" s="58">
        <v>1</v>
      </c>
      <c r="B11" s="441">
        <v>43556</v>
      </c>
      <c r="C11" s="54">
        <v>30</v>
      </c>
      <c r="D11" s="53">
        <v>4</v>
      </c>
      <c r="E11" s="53">
        <v>4</v>
      </c>
      <c r="F11" s="53">
        <v>6</v>
      </c>
      <c r="G11" s="53">
        <f>SUM(E11:F11)</f>
        <v>10</v>
      </c>
      <c r="H11" s="53">
        <f>D11+G11</f>
        <v>14</v>
      </c>
      <c r="I11" s="53">
        <f>C11-H11</f>
        <v>16</v>
      </c>
      <c r="J11" s="53">
        <f>C11-H11</f>
        <v>16</v>
      </c>
      <c r="K11" s="53"/>
    </row>
    <row r="12" spans="1:11" ht="14.25" customHeight="1">
      <c r="A12" s="58">
        <v>2</v>
      </c>
      <c r="B12" s="441">
        <v>43586</v>
      </c>
      <c r="C12" s="54">
        <v>31</v>
      </c>
      <c r="D12" s="53">
        <v>16</v>
      </c>
      <c r="E12" s="53">
        <v>4</v>
      </c>
      <c r="F12" s="53">
        <v>3</v>
      </c>
      <c r="G12" s="53">
        <f aca="true" t="shared" si="0" ref="G12:G22">SUM(E12:F12)</f>
        <v>7</v>
      </c>
      <c r="H12" s="53">
        <f aca="true" t="shared" si="1" ref="H12:H22">D12+G12</f>
        <v>23</v>
      </c>
      <c r="I12" s="53">
        <f aca="true" t="shared" si="2" ref="I12:I22">C12-H12</f>
        <v>8</v>
      </c>
      <c r="J12" s="53">
        <f aca="true" t="shared" si="3" ref="J12:J22">C12-H12</f>
        <v>8</v>
      </c>
      <c r="K12" s="53"/>
    </row>
    <row r="13" spans="1:11" ht="14.25" customHeight="1">
      <c r="A13" s="58">
        <v>3</v>
      </c>
      <c r="B13" s="441">
        <v>43617</v>
      </c>
      <c r="C13" s="54">
        <v>30</v>
      </c>
      <c r="D13" s="53">
        <v>0</v>
      </c>
      <c r="E13" s="53">
        <v>5</v>
      </c>
      <c r="F13" s="53">
        <v>3</v>
      </c>
      <c r="G13" s="53">
        <f t="shared" si="0"/>
        <v>8</v>
      </c>
      <c r="H13" s="53">
        <f t="shared" si="1"/>
        <v>8</v>
      </c>
      <c r="I13" s="53">
        <f t="shared" si="2"/>
        <v>22</v>
      </c>
      <c r="J13" s="53">
        <f t="shared" si="3"/>
        <v>22</v>
      </c>
      <c r="K13" s="53"/>
    </row>
    <row r="14" spans="1:11" ht="14.25" customHeight="1">
      <c r="A14" s="58">
        <v>4</v>
      </c>
      <c r="B14" s="441">
        <v>43647</v>
      </c>
      <c r="C14" s="54">
        <v>31</v>
      </c>
      <c r="D14" s="53">
        <v>0</v>
      </c>
      <c r="E14" s="53">
        <v>4</v>
      </c>
      <c r="F14" s="53">
        <v>6</v>
      </c>
      <c r="G14" s="53">
        <f t="shared" si="0"/>
        <v>10</v>
      </c>
      <c r="H14" s="53">
        <f t="shared" si="1"/>
        <v>10</v>
      </c>
      <c r="I14" s="53">
        <f t="shared" si="2"/>
        <v>21</v>
      </c>
      <c r="J14" s="53">
        <f t="shared" si="3"/>
        <v>21</v>
      </c>
      <c r="K14" s="53"/>
    </row>
    <row r="15" spans="1:11" ht="14.25" customHeight="1">
      <c r="A15" s="58">
        <v>5</v>
      </c>
      <c r="B15" s="441">
        <v>43678</v>
      </c>
      <c r="C15" s="54">
        <v>31</v>
      </c>
      <c r="D15" s="53">
        <v>0</v>
      </c>
      <c r="E15" s="53">
        <v>4</v>
      </c>
      <c r="F15" s="53">
        <v>6</v>
      </c>
      <c r="G15" s="53">
        <f t="shared" si="0"/>
        <v>10</v>
      </c>
      <c r="H15" s="53">
        <f t="shared" si="1"/>
        <v>10</v>
      </c>
      <c r="I15" s="53">
        <f t="shared" si="2"/>
        <v>21</v>
      </c>
      <c r="J15" s="53">
        <f t="shared" si="3"/>
        <v>21</v>
      </c>
      <c r="K15" s="53"/>
    </row>
    <row r="16" spans="1:11" s="57" customFormat="1" ht="14.25" customHeight="1">
      <c r="A16" s="58">
        <v>6</v>
      </c>
      <c r="B16" s="441">
        <v>43709</v>
      </c>
      <c r="C16" s="58">
        <v>30</v>
      </c>
      <c r="D16" s="59">
        <v>0</v>
      </c>
      <c r="E16" s="59">
        <v>5</v>
      </c>
      <c r="F16" s="59">
        <v>7</v>
      </c>
      <c r="G16" s="53">
        <f t="shared" si="0"/>
        <v>12</v>
      </c>
      <c r="H16" s="53">
        <f t="shared" si="1"/>
        <v>12</v>
      </c>
      <c r="I16" s="53">
        <f t="shared" si="2"/>
        <v>18</v>
      </c>
      <c r="J16" s="53">
        <f t="shared" si="3"/>
        <v>18</v>
      </c>
      <c r="K16" s="59"/>
    </row>
    <row r="17" spans="1:11" s="57" customFormat="1" ht="14.25" customHeight="1">
      <c r="A17" s="58">
        <v>7</v>
      </c>
      <c r="B17" s="441">
        <v>43739</v>
      </c>
      <c r="C17" s="58">
        <v>31</v>
      </c>
      <c r="D17" s="59">
        <v>10</v>
      </c>
      <c r="E17" s="59">
        <v>4</v>
      </c>
      <c r="F17" s="59">
        <v>3</v>
      </c>
      <c r="G17" s="53">
        <f t="shared" si="0"/>
        <v>7</v>
      </c>
      <c r="H17" s="53">
        <f t="shared" si="1"/>
        <v>17</v>
      </c>
      <c r="I17" s="53">
        <f t="shared" si="2"/>
        <v>14</v>
      </c>
      <c r="J17" s="53">
        <f t="shared" si="3"/>
        <v>14</v>
      </c>
      <c r="K17" s="59"/>
    </row>
    <row r="18" spans="1:11" s="57" customFormat="1" ht="14.25" customHeight="1">
      <c r="A18" s="58">
        <v>8</v>
      </c>
      <c r="B18" s="441">
        <v>43770</v>
      </c>
      <c r="C18" s="58">
        <v>30</v>
      </c>
      <c r="D18" s="59">
        <v>0</v>
      </c>
      <c r="E18" s="59">
        <v>4</v>
      </c>
      <c r="F18" s="59">
        <v>3</v>
      </c>
      <c r="G18" s="53">
        <f t="shared" si="0"/>
        <v>7</v>
      </c>
      <c r="H18" s="53">
        <f t="shared" si="1"/>
        <v>7</v>
      </c>
      <c r="I18" s="53">
        <f t="shared" si="2"/>
        <v>23</v>
      </c>
      <c r="J18" s="53">
        <f t="shared" si="3"/>
        <v>23</v>
      </c>
      <c r="K18" s="59"/>
    </row>
    <row r="19" spans="1:11" s="57" customFormat="1" ht="14.25" customHeight="1">
      <c r="A19" s="58">
        <v>9</v>
      </c>
      <c r="B19" s="441">
        <v>43800</v>
      </c>
      <c r="C19" s="58">
        <v>31</v>
      </c>
      <c r="D19" s="59">
        <v>0</v>
      </c>
      <c r="E19" s="59">
        <v>5</v>
      </c>
      <c r="F19" s="59">
        <v>3</v>
      </c>
      <c r="G19" s="53">
        <f t="shared" si="0"/>
        <v>8</v>
      </c>
      <c r="H19" s="53">
        <f t="shared" si="1"/>
        <v>8</v>
      </c>
      <c r="I19" s="53">
        <f t="shared" si="2"/>
        <v>23</v>
      </c>
      <c r="J19" s="53">
        <f t="shared" si="3"/>
        <v>23</v>
      </c>
      <c r="K19" s="59"/>
    </row>
    <row r="20" spans="1:11" s="57" customFormat="1" ht="14.25" customHeight="1">
      <c r="A20" s="58">
        <v>10</v>
      </c>
      <c r="B20" s="441">
        <v>43831</v>
      </c>
      <c r="C20" s="58">
        <v>31</v>
      </c>
      <c r="D20" s="59">
        <v>0</v>
      </c>
      <c r="E20" s="59">
        <v>4</v>
      </c>
      <c r="F20" s="59">
        <v>5</v>
      </c>
      <c r="G20" s="53">
        <f t="shared" si="0"/>
        <v>9</v>
      </c>
      <c r="H20" s="53">
        <f t="shared" si="1"/>
        <v>9</v>
      </c>
      <c r="I20" s="53">
        <f t="shared" si="2"/>
        <v>22</v>
      </c>
      <c r="J20" s="53">
        <f t="shared" si="3"/>
        <v>22</v>
      </c>
      <c r="K20" s="59"/>
    </row>
    <row r="21" spans="1:11" s="57" customFormat="1" ht="14.25" customHeight="1">
      <c r="A21" s="58">
        <v>11</v>
      </c>
      <c r="B21" s="441">
        <v>43862</v>
      </c>
      <c r="C21" s="58">
        <v>29</v>
      </c>
      <c r="D21" s="59">
        <v>0</v>
      </c>
      <c r="E21" s="59">
        <v>4</v>
      </c>
      <c r="F21" s="59">
        <v>4</v>
      </c>
      <c r="G21" s="53">
        <f t="shared" si="0"/>
        <v>8</v>
      </c>
      <c r="H21" s="53">
        <f t="shared" si="1"/>
        <v>8</v>
      </c>
      <c r="I21" s="53">
        <f t="shared" si="2"/>
        <v>21</v>
      </c>
      <c r="J21" s="53">
        <f t="shared" si="3"/>
        <v>21</v>
      </c>
      <c r="K21" s="59"/>
    </row>
    <row r="22" spans="1:11" s="57" customFormat="1" ht="14.25" customHeight="1">
      <c r="A22" s="58">
        <v>12</v>
      </c>
      <c r="B22" s="441">
        <v>43891</v>
      </c>
      <c r="C22" s="58">
        <v>31</v>
      </c>
      <c r="D22" s="59">
        <v>0</v>
      </c>
      <c r="E22" s="59">
        <v>5</v>
      </c>
      <c r="F22" s="59">
        <v>5</v>
      </c>
      <c r="G22" s="53">
        <f t="shared" si="0"/>
        <v>10</v>
      </c>
      <c r="H22" s="53">
        <f t="shared" si="1"/>
        <v>10</v>
      </c>
      <c r="I22" s="53">
        <f t="shared" si="2"/>
        <v>21</v>
      </c>
      <c r="J22" s="53">
        <f t="shared" si="3"/>
        <v>21</v>
      </c>
      <c r="K22" s="59"/>
    </row>
    <row r="23" spans="1:11" s="57" customFormat="1" ht="14.25" customHeight="1">
      <c r="A23" s="59"/>
      <c r="B23" s="61" t="s">
        <v>15</v>
      </c>
      <c r="C23" s="52">
        <f>SUM(C11:C22)</f>
        <v>366</v>
      </c>
      <c r="D23" s="440">
        <f aca="true" t="shared" si="4" ref="D23:J23">SUM(D11:D22)</f>
        <v>30</v>
      </c>
      <c r="E23" s="440">
        <f t="shared" si="4"/>
        <v>52</v>
      </c>
      <c r="F23" s="440">
        <f t="shared" si="4"/>
        <v>54</v>
      </c>
      <c r="G23" s="440">
        <f t="shared" si="4"/>
        <v>106</v>
      </c>
      <c r="H23" s="440">
        <f t="shared" si="4"/>
        <v>136</v>
      </c>
      <c r="I23" s="440">
        <f t="shared" si="4"/>
        <v>230</v>
      </c>
      <c r="J23" s="440">
        <f t="shared" si="4"/>
        <v>230</v>
      </c>
      <c r="K23" s="59"/>
    </row>
    <row r="24" spans="1:10" s="57" customFormat="1" ht="11.25" customHeight="1">
      <c r="A24" s="62"/>
      <c r="B24" s="63"/>
      <c r="C24" s="64"/>
      <c r="D24" s="62"/>
      <c r="E24" s="62"/>
      <c r="F24" s="62"/>
      <c r="G24" s="62"/>
      <c r="H24" s="62"/>
      <c r="I24" s="62" t="s">
        <v>10</v>
      </c>
      <c r="J24" s="62"/>
    </row>
    <row r="25" ht="14.25">
      <c r="A25" s="50" t="s">
        <v>102</v>
      </c>
    </row>
    <row r="26" spans="1:10" ht="15">
      <c r="A26" s="55"/>
      <c r="B26" s="55"/>
      <c r="C26" s="55"/>
      <c r="D26" s="55"/>
      <c r="E26" s="55"/>
      <c r="F26" s="55"/>
      <c r="G26" s="55"/>
      <c r="H26" s="55"/>
      <c r="I26" s="55"/>
      <c r="J26" s="55"/>
    </row>
    <row r="27" spans="1:10" ht="15">
      <c r="A27" s="55"/>
      <c r="B27" s="55"/>
      <c r="C27" s="55"/>
      <c r="D27" s="55"/>
      <c r="E27" s="55"/>
      <c r="F27" s="55"/>
      <c r="G27" s="55"/>
      <c r="H27" s="55"/>
      <c r="I27" s="55"/>
      <c r="J27" s="55"/>
    </row>
    <row r="28" spans="1:10" ht="15">
      <c r="A28" s="55"/>
      <c r="B28" s="55"/>
      <c r="C28" s="55"/>
      <c r="D28" s="55"/>
      <c r="E28" s="55"/>
      <c r="F28" s="55"/>
      <c r="G28" s="55"/>
      <c r="H28" s="55"/>
      <c r="I28" s="55"/>
      <c r="J28" s="55"/>
    </row>
    <row r="29" spans="1:10" ht="15">
      <c r="A29" s="55"/>
      <c r="B29" s="55"/>
      <c r="C29" s="55"/>
      <c r="D29" s="55"/>
      <c r="E29" s="55"/>
      <c r="F29" s="55"/>
      <c r="G29" s="55"/>
      <c r="H29" s="55"/>
      <c r="I29" s="55"/>
      <c r="J29" s="55"/>
    </row>
    <row r="30" ht="14.25">
      <c r="D30" s="50" t="s">
        <v>10</v>
      </c>
    </row>
    <row r="31" spans="1:11" ht="15">
      <c r="A31" s="55" t="s">
        <v>11</v>
      </c>
      <c r="B31" s="55"/>
      <c r="C31" s="55"/>
      <c r="D31" s="55"/>
      <c r="E31" s="55"/>
      <c r="F31" s="55"/>
      <c r="G31" s="55"/>
      <c r="H31" s="55"/>
      <c r="I31" s="893"/>
      <c r="J31" s="893"/>
      <c r="K31" s="893"/>
    </row>
    <row r="32" spans="2:11" ht="15" customHeight="1">
      <c r="B32" s="287"/>
      <c r="C32" s="287"/>
      <c r="D32" s="287"/>
      <c r="E32" s="287"/>
      <c r="F32" s="287"/>
      <c r="G32" s="287"/>
      <c r="H32" s="287"/>
      <c r="I32" s="893" t="s">
        <v>819</v>
      </c>
      <c r="J32" s="893"/>
      <c r="K32" s="893"/>
    </row>
    <row r="33" spans="2:11" ht="15" customHeight="1">
      <c r="B33" s="287"/>
      <c r="C33" s="287"/>
      <c r="D33" s="287"/>
      <c r="E33" s="287"/>
      <c r="F33" s="287"/>
      <c r="G33" s="287"/>
      <c r="H33" s="287"/>
      <c r="I33" s="893" t="s">
        <v>488</v>
      </c>
      <c r="J33" s="893"/>
      <c r="K33" s="893"/>
    </row>
    <row r="34" spans="1:10" ht="15">
      <c r="A34" s="55"/>
      <c r="B34" s="55"/>
      <c r="C34" s="55"/>
      <c r="D34" s="55"/>
      <c r="E34" s="55"/>
      <c r="F34" s="55"/>
      <c r="G34" s="55"/>
      <c r="I34" s="55" t="s">
        <v>545</v>
      </c>
      <c r="J34" s="55"/>
    </row>
  </sheetData>
  <sheetProtection/>
  <mergeCells count="19">
    <mergeCell ref="I31:K31"/>
    <mergeCell ref="I32:K32"/>
    <mergeCell ref="I33:K33"/>
    <mergeCell ref="K7:K9"/>
    <mergeCell ref="H8:H9"/>
    <mergeCell ref="D7:H7"/>
    <mergeCell ref="J7:J9"/>
    <mergeCell ref="D8:D9"/>
    <mergeCell ref="E8:G8"/>
    <mergeCell ref="I7:I9"/>
    <mergeCell ref="A6:B6"/>
    <mergeCell ref="A7:A9"/>
    <mergeCell ref="B7:B9"/>
    <mergeCell ref="C7:C9"/>
    <mergeCell ref="J1:K1"/>
    <mergeCell ref="A3:K3"/>
    <mergeCell ref="C1:H1"/>
    <mergeCell ref="A2:J2"/>
    <mergeCell ref="A5:J5"/>
  </mergeCells>
  <printOptions horizontalCentered="1"/>
  <pageMargins left="0.39" right="0.31" top="0.73" bottom="0" header="0.54" footer="0.31496062992125984"/>
  <pageSetup fitToHeight="1" fitToWidth="1" horizontalDpi="600" verticalDpi="600" orientation="landscape" paperSize="9" r:id="rId1"/>
</worksheet>
</file>

<file path=xl/worksheets/sheet57.xml><?xml version="1.0" encoding="utf-8"?>
<worksheet xmlns="http://schemas.openxmlformats.org/spreadsheetml/2006/main" xmlns:r="http://schemas.openxmlformats.org/officeDocument/2006/relationships">
  <sheetPr>
    <pageSetUpPr fitToPage="1"/>
  </sheetPr>
  <dimension ref="A1:T40"/>
  <sheetViews>
    <sheetView view="pageBreakPreview" zoomScaleSheetLayoutView="100" zoomScalePageLayoutView="0" workbookViewId="0" topLeftCell="A1">
      <selection activeCell="H19" sqref="H19"/>
    </sheetView>
  </sheetViews>
  <sheetFormatPr defaultColWidth="9.140625" defaultRowHeight="12.75"/>
  <cols>
    <col min="1" max="1" width="5.57421875" style="237" customWidth="1"/>
    <col min="2" max="2" width="11.421875" style="237" customWidth="1"/>
    <col min="3" max="3" width="10.28125" style="237" customWidth="1"/>
    <col min="4" max="4" width="8.421875" style="237" customWidth="1"/>
    <col min="5" max="6" width="9.8515625" style="237" customWidth="1"/>
    <col min="7" max="7" width="10.8515625" style="237" customWidth="1"/>
    <col min="8" max="8" width="12.8515625" style="237" customWidth="1"/>
    <col min="9" max="9" width="8.7109375" style="226" customWidth="1"/>
    <col min="10" max="10" width="9.140625" style="226" customWidth="1"/>
    <col min="11" max="11" width="8.00390625" style="226" customWidth="1"/>
    <col min="12" max="12" width="8.140625" style="226" customWidth="1"/>
    <col min="13" max="13" width="9.140625" style="226" customWidth="1"/>
    <col min="14" max="14" width="8.8515625" style="226" customWidth="1"/>
    <col min="15" max="18" width="8.421875" style="226" customWidth="1"/>
    <col min="19" max="19" width="12.140625" style="226" customWidth="1"/>
    <col min="20" max="20" width="13.140625" style="226" customWidth="1"/>
    <col min="21" max="16384" width="9.140625" style="226" customWidth="1"/>
  </cols>
  <sheetData>
    <row r="1" spans="7:20" ht="15">
      <c r="G1" s="983"/>
      <c r="H1" s="983"/>
      <c r="I1" s="983"/>
      <c r="J1" s="237"/>
      <c r="K1" s="237"/>
      <c r="L1" s="237"/>
      <c r="M1" s="237"/>
      <c r="N1" s="237"/>
      <c r="O1" s="237"/>
      <c r="P1" s="237"/>
      <c r="Q1" s="980" t="s">
        <v>736</v>
      </c>
      <c r="R1" s="980"/>
      <c r="S1" s="237"/>
      <c r="T1" s="237"/>
    </row>
    <row r="2" spans="1:20" ht="15.75">
      <c r="A2" s="982" t="s">
        <v>0</v>
      </c>
      <c r="B2" s="982"/>
      <c r="C2" s="982"/>
      <c r="D2" s="982"/>
      <c r="E2" s="982"/>
      <c r="F2" s="982"/>
      <c r="G2" s="982"/>
      <c r="H2" s="982"/>
      <c r="I2" s="982"/>
      <c r="J2" s="982"/>
      <c r="K2" s="982"/>
      <c r="L2" s="982"/>
      <c r="M2" s="982"/>
      <c r="N2" s="982"/>
      <c r="O2" s="982"/>
      <c r="P2" s="982"/>
      <c r="Q2" s="982"/>
      <c r="R2" s="982"/>
      <c r="S2" s="237"/>
      <c r="T2" s="237"/>
    </row>
    <row r="3" spans="1:20" ht="18">
      <c r="A3" s="989" t="s">
        <v>854</v>
      </c>
      <c r="B3" s="989"/>
      <c r="C3" s="989"/>
      <c r="D3" s="989"/>
      <c r="E3" s="989"/>
      <c r="F3" s="989"/>
      <c r="G3" s="989"/>
      <c r="H3" s="989"/>
      <c r="I3" s="989"/>
      <c r="J3" s="989"/>
      <c r="K3" s="989"/>
      <c r="L3" s="989"/>
      <c r="M3" s="989"/>
      <c r="N3" s="989"/>
      <c r="O3" s="989"/>
      <c r="P3" s="989"/>
      <c r="Q3" s="989"/>
      <c r="R3" s="989"/>
      <c r="S3" s="237"/>
      <c r="T3" s="237"/>
    </row>
    <row r="4" spans="1:20" ht="12.75" customHeight="1">
      <c r="A4" s="981" t="s">
        <v>967</v>
      </c>
      <c r="B4" s="981"/>
      <c r="C4" s="981"/>
      <c r="D4" s="981"/>
      <c r="E4" s="981"/>
      <c r="F4" s="981"/>
      <c r="G4" s="981"/>
      <c r="H4" s="981"/>
      <c r="I4" s="981"/>
      <c r="J4" s="981"/>
      <c r="K4" s="981"/>
      <c r="L4" s="981"/>
      <c r="M4" s="981"/>
      <c r="N4" s="981"/>
      <c r="O4" s="981"/>
      <c r="P4" s="981"/>
      <c r="Q4" s="237"/>
      <c r="R4" s="237"/>
      <c r="S4" s="237"/>
      <c r="T4" s="237"/>
    </row>
    <row r="5" spans="1:20" s="227" customFormat="1" ht="7.5" customHeight="1">
      <c r="A5" s="981"/>
      <c r="B5" s="981"/>
      <c r="C5" s="981"/>
      <c r="D5" s="981"/>
      <c r="E5" s="981"/>
      <c r="F5" s="981"/>
      <c r="G5" s="981"/>
      <c r="H5" s="981"/>
      <c r="I5" s="981"/>
      <c r="J5" s="981"/>
      <c r="K5" s="981"/>
      <c r="L5" s="981"/>
      <c r="M5" s="981"/>
      <c r="N5" s="981"/>
      <c r="O5" s="981"/>
      <c r="P5" s="981"/>
      <c r="Q5" s="245"/>
      <c r="R5" s="245"/>
      <c r="S5" s="249"/>
      <c r="T5" s="249"/>
    </row>
    <row r="6" spans="1:20" ht="12.75">
      <c r="A6" s="990"/>
      <c r="B6" s="990"/>
      <c r="C6" s="990"/>
      <c r="D6" s="990"/>
      <c r="E6" s="990"/>
      <c r="F6" s="990"/>
      <c r="G6" s="990"/>
      <c r="H6" s="990"/>
      <c r="I6" s="990"/>
      <c r="J6" s="990"/>
      <c r="K6" s="990"/>
      <c r="L6" s="990"/>
      <c r="M6" s="990"/>
      <c r="N6" s="990"/>
      <c r="O6" s="990"/>
      <c r="P6" s="990"/>
      <c r="Q6" s="990"/>
      <c r="R6" s="990"/>
      <c r="S6" s="237"/>
      <c r="T6" s="237"/>
    </row>
    <row r="7" spans="1:20" ht="12.75">
      <c r="A7" s="699" t="s">
        <v>475</v>
      </c>
      <c r="B7" s="699"/>
      <c r="H7" s="238"/>
      <c r="I7" s="237"/>
      <c r="J7" s="237"/>
      <c r="K7" s="237"/>
      <c r="L7" s="988"/>
      <c r="M7" s="988"/>
      <c r="N7" s="988"/>
      <c r="O7" s="988"/>
      <c r="P7" s="988"/>
      <c r="Q7" s="988"/>
      <c r="R7" s="988"/>
      <c r="S7" s="237"/>
      <c r="T7" s="237"/>
    </row>
    <row r="8" spans="1:20" s="290" customFormat="1" ht="30.75" customHeight="1">
      <c r="A8" s="987" t="s">
        <v>2</v>
      </c>
      <c r="B8" s="987" t="s">
        <v>3</v>
      </c>
      <c r="C8" s="984" t="s">
        <v>680</v>
      </c>
      <c r="D8" s="985"/>
      <c r="E8" s="985"/>
      <c r="F8" s="985"/>
      <c r="G8" s="986"/>
      <c r="H8" s="993" t="s">
        <v>81</v>
      </c>
      <c r="I8" s="984" t="s">
        <v>82</v>
      </c>
      <c r="J8" s="985"/>
      <c r="K8" s="985"/>
      <c r="L8" s="986"/>
      <c r="M8" s="987" t="s">
        <v>789</v>
      </c>
      <c r="N8" s="987"/>
      <c r="O8" s="987"/>
      <c r="P8" s="987"/>
      <c r="Q8" s="987"/>
      <c r="R8" s="987"/>
      <c r="S8" s="987" t="s">
        <v>976</v>
      </c>
      <c r="T8" s="987"/>
    </row>
    <row r="9" spans="1:20" s="290" customFormat="1" ht="44.25" customHeight="1">
      <c r="A9" s="987"/>
      <c r="B9" s="987"/>
      <c r="C9" s="291" t="s">
        <v>5</v>
      </c>
      <c r="D9" s="291" t="s">
        <v>6</v>
      </c>
      <c r="E9" s="291" t="s">
        <v>356</v>
      </c>
      <c r="F9" s="292" t="s">
        <v>96</v>
      </c>
      <c r="G9" s="292" t="s">
        <v>226</v>
      </c>
      <c r="H9" s="994"/>
      <c r="I9" s="291" t="s">
        <v>178</v>
      </c>
      <c r="J9" s="291" t="s">
        <v>110</v>
      </c>
      <c r="K9" s="291" t="s">
        <v>111</v>
      </c>
      <c r="L9" s="291" t="s">
        <v>442</v>
      </c>
      <c r="M9" s="554" t="s">
        <v>15</v>
      </c>
      <c r="N9" s="554" t="s">
        <v>807</v>
      </c>
      <c r="O9" s="554" t="s">
        <v>791</v>
      </c>
      <c r="P9" s="554" t="s">
        <v>792</v>
      </c>
      <c r="Q9" s="554" t="s">
        <v>793</v>
      </c>
      <c r="R9" s="554" t="s">
        <v>794</v>
      </c>
      <c r="S9" s="554" t="s">
        <v>977</v>
      </c>
      <c r="T9" s="554" t="s">
        <v>978</v>
      </c>
    </row>
    <row r="10" spans="1:20" s="228" customFormat="1" ht="12.75">
      <c r="A10" s="239">
        <v>1</v>
      </c>
      <c r="B10" s="239">
        <v>2</v>
      </c>
      <c r="C10" s="239">
        <v>3</v>
      </c>
      <c r="D10" s="239">
        <v>4</v>
      </c>
      <c r="E10" s="239">
        <v>5</v>
      </c>
      <c r="F10" s="239">
        <v>6</v>
      </c>
      <c r="G10" s="239">
        <v>7</v>
      </c>
      <c r="H10" s="239">
        <v>8</v>
      </c>
      <c r="I10" s="239">
        <v>9</v>
      </c>
      <c r="J10" s="239">
        <v>10</v>
      </c>
      <c r="K10" s="239">
        <v>11</v>
      </c>
      <c r="L10" s="239">
        <v>12</v>
      </c>
      <c r="M10" s="239">
        <v>13</v>
      </c>
      <c r="N10" s="239">
        <v>14</v>
      </c>
      <c r="O10" s="239">
        <v>15</v>
      </c>
      <c r="P10" s="239">
        <v>16</v>
      </c>
      <c r="Q10" s="239">
        <v>17</v>
      </c>
      <c r="R10" s="239">
        <v>18</v>
      </c>
      <c r="S10" s="566">
        <v>19</v>
      </c>
      <c r="T10" s="566">
        <v>20</v>
      </c>
    </row>
    <row r="11" spans="1:20" ht="12.75">
      <c r="A11" s="8">
        <v>1</v>
      </c>
      <c r="B11" s="19" t="s">
        <v>476</v>
      </c>
      <c r="C11" s="348">
        <v>36236</v>
      </c>
      <c r="D11" s="348">
        <v>3686</v>
      </c>
      <c r="E11" s="348">
        <f>'enrolment vs availed_PY'!J11</f>
        <v>0</v>
      </c>
      <c r="F11" s="348">
        <v>857</v>
      </c>
      <c r="G11" s="348">
        <f>SUM(C11:F11)</f>
        <v>40779</v>
      </c>
      <c r="H11" s="241">
        <v>230</v>
      </c>
      <c r="I11" s="350">
        <f>J11+K11+L11</f>
        <v>937.917</v>
      </c>
      <c r="J11" s="350">
        <f>G11*230*0.0001</f>
        <v>937.917</v>
      </c>
      <c r="K11" s="350">
        <v>0</v>
      </c>
      <c r="L11" s="350">
        <v>0</v>
      </c>
      <c r="M11" s="350">
        <f>N11+O11+P11+Q11+R11</f>
        <v>62.79966</v>
      </c>
      <c r="N11" s="350">
        <f>G11*77*0.00002</f>
        <v>62.79966</v>
      </c>
      <c r="O11" s="350">
        <v>0</v>
      </c>
      <c r="P11" s="350">
        <v>0</v>
      </c>
      <c r="Q11" s="350">
        <v>0</v>
      </c>
      <c r="R11" s="350">
        <v>0</v>
      </c>
      <c r="S11" s="569">
        <v>1890</v>
      </c>
      <c r="T11" s="569">
        <f>I11*S11/100000</f>
        <v>17.7266313</v>
      </c>
    </row>
    <row r="12" spans="1:20" ht="12.75">
      <c r="A12" s="8">
        <v>2</v>
      </c>
      <c r="B12" s="19" t="s">
        <v>477</v>
      </c>
      <c r="C12" s="348">
        <v>26601</v>
      </c>
      <c r="D12" s="348">
        <v>187</v>
      </c>
      <c r="E12" s="348">
        <f>'enrolment vs availed_PY'!J12</f>
        <v>0</v>
      </c>
      <c r="F12" s="348">
        <v>3226</v>
      </c>
      <c r="G12" s="348">
        <f aca="true" t="shared" si="0" ref="G12:G18">SUM(C12:F12)</f>
        <v>30014</v>
      </c>
      <c r="H12" s="335">
        <v>230</v>
      </c>
      <c r="I12" s="350">
        <f aca="true" t="shared" si="1" ref="I12:I18">J12+K12+L12</f>
        <v>690.322</v>
      </c>
      <c r="J12" s="350">
        <f aca="true" t="shared" si="2" ref="J12:J18">G12*230*0.0001</f>
        <v>690.322</v>
      </c>
      <c r="K12" s="350">
        <v>0</v>
      </c>
      <c r="L12" s="350">
        <v>0</v>
      </c>
      <c r="M12" s="350">
        <f aca="true" t="shared" si="3" ref="M12:M18">N12+O12+P12+Q12+R12</f>
        <v>46.221560000000004</v>
      </c>
      <c r="N12" s="350">
        <f aca="true" t="shared" si="4" ref="N12:N18">G12*77*0.00002</f>
        <v>46.221560000000004</v>
      </c>
      <c r="O12" s="350">
        <v>0</v>
      </c>
      <c r="P12" s="350">
        <v>0</v>
      </c>
      <c r="Q12" s="350">
        <v>0</v>
      </c>
      <c r="R12" s="350">
        <v>0</v>
      </c>
      <c r="S12" s="569">
        <v>1890</v>
      </c>
      <c r="T12" s="569">
        <f aca="true" t="shared" si="5" ref="T12:T18">I12*S12/100000</f>
        <v>13.047085800000001</v>
      </c>
    </row>
    <row r="13" spans="1:20" ht="12.75">
      <c r="A13" s="8">
        <v>3</v>
      </c>
      <c r="B13" s="19" t="s">
        <v>478</v>
      </c>
      <c r="C13" s="348">
        <v>17168</v>
      </c>
      <c r="D13" s="348">
        <v>379</v>
      </c>
      <c r="E13" s="348">
        <f>'enrolment vs availed_PY'!J13</f>
        <v>0</v>
      </c>
      <c r="F13" s="348">
        <v>27</v>
      </c>
      <c r="G13" s="348">
        <f t="shared" si="0"/>
        <v>17574</v>
      </c>
      <c r="H13" s="335">
        <v>230</v>
      </c>
      <c r="I13" s="350">
        <f t="shared" si="1"/>
        <v>404.202</v>
      </c>
      <c r="J13" s="350">
        <f t="shared" si="2"/>
        <v>404.202</v>
      </c>
      <c r="K13" s="350">
        <v>0</v>
      </c>
      <c r="L13" s="350">
        <v>0</v>
      </c>
      <c r="M13" s="350">
        <f t="shared" si="3"/>
        <v>27.06396</v>
      </c>
      <c r="N13" s="350">
        <f t="shared" si="4"/>
        <v>27.06396</v>
      </c>
      <c r="O13" s="350">
        <v>0</v>
      </c>
      <c r="P13" s="350">
        <v>0</v>
      </c>
      <c r="Q13" s="350">
        <v>0</v>
      </c>
      <c r="R13" s="350">
        <v>0</v>
      </c>
      <c r="S13" s="569">
        <v>1890</v>
      </c>
      <c r="T13" s="569">
        <f t="shared" si="5"/>
        <v>7.6394178</v>
      </c>
    </row>
    <row r="14" spans="1:20" ht="12.75">
      <c r="A14" s="8">
        <v>4</v>
      </c>
      <c r="B14" s="19" t="s">
        <v>479</v>
      </c>
      <c r="C14" s="348">
        <v>24588</v>
      </c>
      <c r="D14" s="348">
        <v>372</v>
      </c>
      <c r="E14" s="348">
        <f>'enrolment vs availed_PY'!J14</f>
        <v>0</v>
      </c>
      <c r="F14" s="348">
        <v>321</v>
      </c>
      <c r="G14" s="348">
        <f t="shared" si="0"/>
        <v>25281</v>
      </c>
      <c r="H14" s="335">
        <v>230</v>
      </c>
      <c r="I14" s="350">
        <f t="shared" si="1"/>
        <v>581.4630000000001</v>
      </c>
      <c r="J14" s="350">
        <f t="shared" si="2"/>
        <v>581.4630000000001</v>
      </c>
      <c r="K14" s="350">
        <v>0</v>
      </c>
      <c r="L14" s="350">
        <v>0</v>
      </c>
      <c r="M14" s="350">
        <f t="shared" si="3"/>
        <v>38.93274</v>
      </c>
      <c r="N14" s="350">
        <f t="shared" si="4"/>
        <v>38.93274</v>
      </c>
      <c r="O14" s="350">
        <v>0</v>
      </c>
      <c r="P14" s="350">
        <v>0</v>
      </c>
      <c r="Q14" s="350">
        <v>0</v>
      </c>
      <c r="R14" s="350">
        <v>0</v>
      </c>
      <c r="S14" s="569">
        <v>1890</v>
      </c>
      <c r="T14" s="569">
        <f t="shared" si="5"/>
        <v>10.9896507</v>
      </c>
    </row>
    <row r="15" spans="1:20" ht="12.75">
      <c r="A15" s="8">
        <v>5</v>
      </c>
      <c r="B15" s="19" t="s">
        <v>480</v>
      </c>
      <c r="C15" s="348">
        <v>25759</v>
      </c>
      <c r="D15" s="348">
        <v>0</v>
      </c>
      <c r="E15" s="348">
        <f>'enrolment vs availed_PY'!J15</f>
        <v>0</v>
      </c>
      <c r="F15" s="348">
        <v>84</v>
      </c>
      <c r="G15" s="348">
        <f t="shared" si="0"/>
        <v>25843</v>
      </c>
      <c r="H15" s="335">
        <v>230</v>
      </c>
      <c r="I15" s="350">
        <f t="shared" si="1"/>
        <v>594.389</v>
      </c>
      <c r="J15" s="350">
        <f t="shared" si="2"/>
        <v>594.389</v>
      </c>
      <c r="K15" s="350">
        <v>0</v>
      </c>
      <c r="L15" s="350">
        <v>0</v>
      </c>
      <c r="M15" s="350">
        <f t="shared" si="3"/>
        <v>39.79822</v>
      </c>
      <c r="N15" s="350">
        <f t="shared" si="4"/>
        <v>39.79822</v>
      </c>
      <c r="O15" s="350">
        <v>0</v>
      </c>
      <c r="P15" s="350">
        <v>0</v>
      </c>
      <c r="Q15" s="350">
        <v>0</v>
      </c>
      <c r="R15" s="350">
        <v>0</v>
      </c>
      <c r="S15" s="569">
        <v>1890</v>
      </c>
      <c r="T15" s="569">
        <f t="shared" si="5"/>
        <v>11.2339521</v>
      </c>
    </row>
    <row r="16" spans="1:20" ht="12.75">
      <c r="A16" s="8">
        <v>6</v>
      </c>
      <c r="B16" s="19" t="s">
        <v>481</v>
      </c>
      <c r="C16" s="348">
        <v>17703</v>
      </c>
      <c r="D16" s="348">
        <v>374</v>
      </c>
      <c r="E16" s="348">
        <f>'enrolment vs availed_PY'!J16</f>
        <v>0</v>
      </c>
      <c r="F16" s="348">
        <v>2247</v>
      </c>
      <c r="G16" s="348">
        <f t="shared" si="0"/>
        <v>20324</v>
      </c>
      <c r="H16" s="335">
        <v>230</v>
      </c>
      <c r="I16" s="350">
        <f t="shared" si="1"/>
        <v>467.452</v>
      </c>
      <c r="J16" s="350">
        <f t="shared" si="2"/>
        <v>467.452</v>
      </c>
      <c r="K16" s="350">
        <v>0</v>
      </c>
      <c r="L16" s="350">
        <v>0</v>
      </c>
      <c r="M16" s="350">
        <f t="shared" si="3"/>
        <v>31.29896</v>
      </c>
      <c r="N16" s="350">
        <f t="shared" si="4"/>
        <v>31.29896</v>
      </c>
      <c r="O16" s="350">
        <v>0</v>
      </c>
      <c r="P16" s="350">
        <v>0</v>
      </c>
      <c r="Q16" s="350">
        <v>0</v>
      </c>
      <c r="R16" s="350">
        <v>0</v>
      </c>
      <c r="S16" s="569">
        <v>1890</v>
      </c>
      <c r="T16" s="569">
        <f t="shared" si="5"/>
        <v>8.8348428</v>
      </c>
    </row>
    <row r="17" spans="1:20" ht="12.75">
      <c r="A17" s="8">
        <v>7</v>
      </c>
      <c r="B17" s="19" t="s">
        <v>482</v>
      </c>
      <c r="C17" s="348">
        <v>30793</v>
      </c>
      <c r="D17" s="348">
        <v>62</v>
      </c>
      <c r="E17" s="348">
        <f>'enrolment vs availed_PY'!J17</f>
        <v>0</v>
      </c>
      <c r="F17" s="348">
        <v>889</v>
      </c>
      <c r="G17" s="348">
        <f t="shared" si="0"/>
        <v>31744</v>
      </c>
      <c r="H17" s="335">
        <v>230</v>
      </c>
      <c r="I17" s="350">
        <f t="shared" si="1"/>
        <v>730.1120000000001</v>
      </c>
      <c r="J17" s="350">
        <f t="shared" si="2"/>
        <v>730.1120000000001</v>
      </c>
      <c r="K17" s="350">
        <v>0</v>
      </c>
      <c r="L17" s="350">
        <v>0</v>
      </c>
      <c r="M17" s="350">
        <f t="shared" si="3"/>
        <v>48.885760000000005</v>
      </c>
      <c r="N17" s="350">
        <f t="shared" si="4"/>
        <v>48.885760000000005</v>
      </c>
      <c r="O17" s="350">
        <v>0</v>
      </c>
      <c r="P17" s="350">
        <v>0</v>
      </c>
      <c r="Q17" s="350">
        <v>0</v>
      </c>
      <c r="R17" s="350">
        <v>0</v>
      </c>
      <c r="S17" s="569">
        <v>1890</v>
      </c>
      <c r="T17" s="569">
        <f t="shared" si="5"/>
        <v>13.799116800000002</v>
      </c>
    </row>
    <row r="18" spans="1:20" ht="12.75">
      <c r="A18" s="8">
        <v>8</v>
      </c>
      <c r="B18" s="19" t="s">
        <v>483</v>
      </c>
      <c r="C18" s="348">
        <v>29421</v>
      </c>
      <c r="D18" s="348">
        <v>0</v>
      </c>
      <c r="E18" s="348">
        <f>'enrolment vs availed_PY'!J18</f>
        <v>0</v>
      </c>
      <c r="F18" s="348">
        <v>75</v>
      </c>
      <c r="G18" s="348">
        <f t="shared" si="0"/>
        <v>29496</v>
      </c>
      <c r="H18" s="335">
        <v>230</v>
      </c>
      <c r="I18" s="350">
        <f t="shared" si="1"/>
        <v>678.408</v>
      </c>
      <c r="J18" s="350">
        <f t="shared" si="2"/>
        <v>678.408</v>
      </c>
      <c r="K18" s="350">
        <v>0</v>
      </c>
      <c r="L18" s="350">
        <v>0</v>
      </c>
      <c r="M18" s="350">
        <f t="shared" si="3"/>
        <v>45.423840000000006</v>
      </c>
      <c r="N18" s="350">
        <f t="shared" si="4"/>
        <v>45.423840000000006</v>
      </c>
      <c r="O18" s="350">
        <v>0</v>
      </c>
      <c r="P18" s="350">
        <v>0</v>
      </c>
      <c r="Q18" s="350">
        <v>0</v>
      </c>
      <c r="R18" s="350">
        <v>0</v>
      </c>
      <c r="S18" s="569">
        <v>1890</v>
      </c>
      <c r="T18" s="569">
        <f t="shared" si="5"/>
        <v>12.8219112</v>
      </c>
    </row>
    <row r="19" spans="1:20" ht="12.75">
      <c r="A19" s="3"/>
      <c r="B19" s="27" t="s">
        <v>484</v>
      </c>
      <c r="C19" s="348">
        <f>SUM(C11:C18)</f>
        <v>208269</v>
      </c>
      <c r="D19" s="348">
        <f>SUM(D11:D18)</f>
        <v>5060</v>
      </c>
      <c r="E19" s="348">
        <f>SUM(E11:E18)</f>
        <v>0</v>
      </c>
      <c r="F19" s="348">
        <f>SUM(F11:F18)</f>
        <v>7726</v>
      </c>
      <c r="G19" s="348">
        <f>SUM(G11:G18)</f>
        <v>221055</v>
      </c>
      <c r="H19" s="241"/>
      <c r="I19" s="350">
        <f>SUM(I11:I18)</f>
        <v>5084.265</v>
      </c>
      <c r="J19" s="350">
        <f aca="true" t="shared" si="6" ref="J19:T19">SUM(J11:J18)</f>
        <v>5084.265</v>
      </c>
      <c r="K19" s="350">
        <f t="shared" si="6"/>
        <v>0</v>
      </c>
      <c r="L19" s="350">
        <f t="shared" si="6"/>
        <v>0</v>
      </c>
      <c r="M19" s="350">
        <f t="shared" si="6"/>
        <v>340.4247</v>
      </c>
      <c r="N19" s="350">
        <f t="shared" si="6"/>
        <v>340.4247</v>
      </c>
      <c r="O19" s="350">
        <f t="shared" si="6"/>
        <v>0</v>
      </c>
      <c r="P19" s="350">
        <f t="shared" si="6"/>
        <v>0</v>
      </c>
      <c r="Q19" s="350">
        <f t="shared" si="6"/>
        <v>0</v>
      </c>
      <c r="R19" s="350">
        <f t="shared" si="6"/>
        <v>0</v>
      </c>
      <c r="S19" s="569">
        <v>1890</v>
      </c>
      <c r="T19" s="350">
        <f t="shared" si="6"/>
        <v>96.09260850000001</v>
      </c>
    </row>
    <row r="20" spans="1:20" ht="12.75">
      <c r="A20" s="242"/>
      <c r="B20" s="242"/>
      <c r="C20" s="242"/>
      <c r="D20" s="589"/>
      <c r="E20" s="589"/>
      <c r="F20" s="589"/>
      <c r="G20" s="242"/>
      <c r="H20" s="242"/>
      <c r="I20" s="237"/>
      <c r="J20" s="237"/>
      <c r="K20" s="237"/>
      <c r="L20" s="237"/>
      <c r="M20" s="237"/>
      <c r="N20" s="237"/>
      <c r="O20" s="237"/>
      <c r="P20" s="237"/>
      <c r="Q20" s="237"/>
      <c r="R20" s="237"/>
      <c r="S20" s="237"/>
      <c r="T20" s="237"/>
    </row>
    <row r="21" spans="1:20" ht="12.75">
      <c r="A21" s="243" t="s">
        <v>7</v>
      </c>
      <c r="B21" s="477"/>
      <c r="C21" s="477"/>
      <c r="D21" s="589"/>
      <c r="E21" s="589"/>
      <c r="F21" s="589"/>
      <c r="G21" s="242"/>
      <c r="H21" s="242"/>
      <c r="I21" s="237"/>
      <c r="J21" s="237"/>
      <c r="K21" s="237"/>
      <c r="L21" s="237"/>
      <c r="M21" s="237"/>
      <c r="N21" s="237" t="s">
        <v>10</v>
      </c>
      <c r="O21" s="237"/>
      <c r="P21" s="237"/>
      <c r="Q21" s="237"/>
      <c r="R21" s="237"/>
      <c r="S21" s="237"/>
      <c r="T21" s="237"/>
    </row>
    <row r="22" spans="1:20" ht="12.75">
      <c r="A22" s="244" t="s">
        <v>8</v>
      </c>
      <c r="B22" s="244"/>
      <c r="C22" s="244"/>
      <c r="D22" s="589"/>
      <c r="E22" s="589"/>
      <c r="F22" s="589"/>
      <c r="G22" s="237" t="s">
        <v>10</v>
      </c>
      <c r="I22" s="237"/>
      <c r="J22" s="237"/>
      <c r="K22" s="237"/>
      <c r="L22" s="237"/>
      <c r="M22" s="237"/>
      <c r="N22" s="237"/>
      <c r="O22" s="237"/>
      <c r="P22" s="237" t="s">
        <v>10</v>
      </c>
      <c r="Q22" s="237"/>
      <c r="R22" s="237"/>
      <c r="S22" s="237"/>
      <c r="T22" s="237"/>
    </row>
    <row r="23" spans="1:20" ht="12.75">
      <c r="A23" s="244" t="s">
        <v>9</v>
      </c>
      <c r="B23" s="244"/>
      <c r="C23" s="244"/>
      <c r="D23" s="589"/>
      <c r="E23" s="589"/>
      <c r="F23" s="589"/>
      <c r="I23" s="237"/>
      <c r="J23" s="237"/>
      <c r="K23" s="237"/>
      <c r="L23" s="237"/>
      <c r="M23" s="237"/>
      <c r="N23" s="237"/>
      <c r="O23" s="237"/>
      <c r="P23" s="237"/>
      <c r="Q23" s="237"/>
      <c r="R23" s="237"/>
      <c r="S23" s="237"/>
      <c r="T23" s="237"/>
    </row>
    <row r="24" spans="1:20" ht="12.75">
      <c r="A24" s="244"/>
      <c r="B24" s="244"/>
      <c r="C24" s="244"/>
      <c r="D24" s="589"/>
      <c r="E24" s="589"/>
      <c r="F24" s="589"/>
      <c r="I24" s="237"/>
      <c r="J24" s="237"/>
      <c r="K24" s="237"/>
      <c r="L24" s="237"/>
      <c r="M24" s="237"/>
      <c r="N24" s="237"/>
      <c r="O24" s="237"/>
      <c r="P24" s="237"/>
      <c r="Q24" s="237"/>
      <c r="R24" s="237"/>
      <c r="S24" s="237"/>
      <c r="T24" s="237"/>
    </row>
    <row r="25" spans="1:20" ht="12.75" customHeight="1">
      <c r="A25" s="244" t="s">
        <v>11</v>
      </c>
      <c r="D25" s="589"/>
      <c r="E25" s="589"/>
      <c r="F25" s="589"/>
      <c r="H25" s="244"/>
      <c r="I25" s="237"/>
      <c r="J25" s="244"/>
      <c r="K25" s="244"/>
      <c r="L25" s="244"/>
      <c r="M25" s="244"/>
      <c r="N25" s="244"/>
      <c r="O25" s="991"/>
      <c r="P25" s="991"/>
      <c r="Q25" s="991"/>
      <c r="R25" s="991"/>
      <c r="S25" s="237"/>
      <c r="T25" s="237"/>
    </row>
    <row r="26" spans="4:20" ht="12.75" customHeight="1">
      <c r="D26" s="589"/>
      <c r="E26" s="589"/>
      <c r="F26" s="589"/>
      <c r="I26" s="244"/>
      <c r="J26" s="237"/>
      <c r="K26" s="293"/>
      <c r="L26" s="293"/>
      <c r="M26" s="293"/>
      <c r="N26" s="293"/>
      <c r="O26" s="992" t="s">
        <v>819</v>
      </c>
      <c r="P26" s="992"/>
      <c r="Q26" s="992"/>
      <c r="R26" s="992"/>
      <c r="S26" s="237"/>
      <c r="T26" s="237"/>
    </row>
    <row r="27" spans="4:20" ht="12.75" customHeight="1">
      <c r="D27" s="589"/>
      <c r="E27" s="589"/>
      <c r="F27" s="589"/>
      <c r="I27" s="237"/>
      <c r="J27" s="293"/>
      <c r="K27" s="293"/>
      <c r="L27" s="293"/>
      <c r="M27" s="293"/>
      <c r="N27" s="293"/>
      <c r="O27" s="992" t="s">
        <v>487</v>
      </c>
      <c r="P27" s="992"/>
      <c r="Q27" s="992"/>
      <c r="R27" s="992"/>
      <c r="S27" s="237"/>
      <c r="T27" s="237"/>
    </row>
    <row r="28" spans="1:20" ht="12.75">
      <c r="A28" s="244"/>
      <c r="B28" s="244"/>
      <c r="I28" s="237"/>
      <c r="J28" s="244"/>
      <c r="K28" s="244"/>
      <c r="L28" s="244"/>
      <c r="M28" s="244"/>
      <c r="N28" s="244"/>
      <c r="O28" s="244"/>
      <c r="P28" s="414" t="s">
        <v>80</v>
      </c>
      <c r="Q28" s="414"/>
      <c r="R28" s="415"/>
      <c r="S28" s="237"/>
      <c r="T28" s="237"/>
    </row>
    <row r="29" spans="3:6" ht="12.75">
      <c r="C29" s="552"/>
      <c r="D29" s="552"/>
      <c r="E29" s="552"/>
      <c r="F29" s="552"/>
    </row>
    <row r="30" spans="1:18" ht="12.75">
      <c r="A30" s="551"/>
      <c r="B30" s="638"/>
      <c r="C30" s="21"/>
      <c r="D30" s="21"/>
      <c r="E30" s="21"/>
      <c r="F30" s="21"/>
      <c r="G30" s="21"/>
      <c r="H30" s="639"/>
      <c r="I30" s="551"/>
      <c r="J30" s="551"/>
      <c r="K30" s="551"/>
      <c r="L30" s="551"/>
      <c r="M30" s="551"/>
      <c r="N30" s="551"/>
      <c r="O30" s="551"/>
      <c r="P30" s="551"/>
      <c r="Q30" s="551"/>
      <c r="R30" s="551"/>
    </row>
    <row r="31" spans="2:8" ht="12.75">
      <c r="B31" s="242"/>
      <c r="C31" s="21"/>
      <c r="D31" s="21"/>
      <c r="E31" s="21"/>
      <c r="F31" s="21"/>
      <c r="G31" s="21"/>
      <c r="H31" s="242"/>
    </row>
    <row r="32" spans="2:8" ht="12.75">
      <c r="B32" s="242"/>
      <c r="C32" s="21"/>
      <c r="D32" s="21"/>
      <c r="E32" s="21"/>
      <c r="F32" s="21"/>
      <c r="G32" s="21"/>
      <c r="H32" s="242"/>
    </row>
    <row r="33" spans="2:8" ht="12.75">
      <c r="B33" s="242"/>
      <c r="C33" s="21"/>
      <c r="D33" s="21"/>
      <c r="E33" s="21"/>
      <c r="F33" s="21"/>
      <c r="G33" s="21"/>
      <c r="H33" s="242"/>
    </row>
    <row r="34" spans="2:8" ht="12.75">
      <c r="B34" s="242"/>
      <c r="C34" s="21"/>
      <c r="D34" s="21"/>
      <c r="E34" s="21"/>
      <c r="F34" s="21"/>
      <c r="G34" s="21"/>
      <c r="H34" s="242"/>
    </row>
    <row r="35" spans="2:8" ht="12.75">
      <c r="B35" s="242"/>
      <c r="C35" s="21"/>
      <c r="D35" s="21"/>
      <c r="E35" s="21"/>
      <c r="F35" s="21"/>
      <c r="G35" s="21"/>
      <c r="H35" s="242"/>
    </row>
    <row r="36" spans="2:8" ht="12.75">
      <c r="B36" s="242"/>
      <c r="C36" s="21"/>
      <c r="D36" s="21"/>
      <c r="E36" s="21"/>
      <c r="F36" s="21"/>
      <c r="G36" s="21"/>
      <c r="H36" s="242"/>
    </row>
    <row r="37" spans="2:8" ht="12.75">
      <c r="B37" s="242"/>
      <c r="C37" s="21"/>
      <c r="D37" s="21"/>
      <c r="E37" s="21"/>
      <c r="F37" s="21"/>
      <c r="G37" s="21"/>
      <c r="H37" s="242"/>
    </row>
    <row r="38" spans="2:8" ht="12.75">
      <c r="B38" s="242"/>
      <c r="C38" s="28"/>
      <c r="D38" s="28"/>
      <c r="E38" s="28"/>
      <c r="F38" s="28"/>
      <c r="G38" s="28"/>
      <c r="H38" s="242"/>
    </row>
    <row r="39" spans="2:8" ht="12.75">
      <c r="B39" s="242"/>
      <c r="C39" s="242"/>
      <c r="D39" s="242"/>
      <c r="E39" s="242"/>
      <c r="F39" s="242"/>
      <c r="G39" s="242"/>
      <c r="H39" s="242"/>
    </row>
    <row r="40" spans="2:8" ht="12.75">
      <c r="B40" s="242"/>
      <c r="C40" s="589"/>
      <c r="D40" s="589"/>
      <c r="E40" s="589"/>
      <c r="F40" s="589"/>
      <c r="G40" s="242"/>
      <c r="H40" s="242"/>
    </row>
  </sheetData>
  <sheetProtection/>
  <mergeCells count="18">
    <mergeCell ref="A3:R3"/>
    <mergeCell ref="A6:R6"/>
    <mergeCell ref="O25:R25"/>
    <mergeCell ref="M8:R8"/>
    <mergeCell ref="O27:R27"/>
    <mergeCell ref="H8:H9"/>
    <mergeCell ref="O26:R26"/>
    <mergeCell ref="A7:B7"/>
    <mergeCell ref="Q1:R1"/>
    <mergeCell ref="A4:P5"/>
    <mergeCell ref="A2:R2"/>
    <mergeCell ref="G1:I1"/>
    <mergeCell ref="I8:L8"/>
    <mergeCell ref="S8:T8"/>
    <mergeCell ref="L7:R7"/>
    <mergeCell ref="A8:A9"/>
    <mergeCell ref="B8:B9"/>
    <mergeCell ref="C8:G8"/>
  </mergeCells>
  <printOptions horizontalCentered="1"/>
  <pageMargins left="0.51" right="0.21" top="1.13" bottom="0" header="0.78" footer="0.31496062992125984"/>
  <pageSetup fitToHeight="1" fitToWidth="1" horizontalDpi="600" verticalDpi="600" orientation="landscape" paperSize="9" scale="75" r:id="rId1"/>
</worksheet>
</file>

<file path=xl/worksheets/sheet58.xml><?xml version="1.0" encoding="utf-8"?>
<worksheet xmlns="http://schemas.openxmlformats.org/spreadsheetml/2006/main" xmlns:r="http://schemas.openxmlformats.org/officeDocument/2006/relationships">
  <sheetPr>
    <pageSetUpPr fitToPage="1"/>
  </sheetPr>
  <dimension ref="A1:T39"/>
  <sheetViews>
    <sheetView view="pageBreakPreview" zoomScaleSheetLayoutView="100" zoomScalePageLayoutView="0" workbookViewId="0" topLeftCell="A1">
      <selection activeCell="B8" sqref="B8:B9"/>
    </sheetView>
  </sheetViews>
  <sheetFormatPr defaultColWidth="9.140625" defaultRowHeight="12.75"/>
  <cols>
    <col min="1" max="1" width="5.57421875" style="237" customWidth="1"/>
    <col min="2" max="2" width="11.00390625" style="237" customWidth="1"/>
    <col min="3" max="3" width="10.28125" style="237" customWidth="1"/>
    <col min="4" max="4" width="8.421875" style="237" customWidth="1"/>
    <col min="5" max="6" width="9.8515625" style="237" customWidth="1"/>
    <col min="7" max="7" width="10.8515625" style="237" customWidth="1"/>
    <col min="8" max="8" width="12.8515625" style="237" customWidth="1"/>
    <col min="9" max="9" width="8.7109375" style="226" customWidth="1"/>
    <col min="10" max="11" width="8.00390625" style="226" customWidth="1"/>
    <col min="12" max="14" width="8.140625" style="226" customWidth="1"/>
    <col min="15" max="18" width="8.28125" style="226" customWidth="1"/>
    <col min="19" max="19" width="13.140625" style="226" customWidth="1"/>
    <col min="20" max="20" width="13.57421875" style="226" customWidth="1"/>
    <col min="21" max="16384" width="9.140625" style="226" customWidth="1"/>
  </cols>
  <sheetData>
    <row r="1" spans="7:20" ht="15">
      <c r="G1" s="983"/>
      <c r="H1" s="983"/>
      <c r="I1" s="983"/>
      <c r="J1" s="237"/>
      <c r="K1" s="237"/>
      <c r="L1" s="237"/>
      <c r="M1" s="237"/>
      <c r="N1" s="237"/>
      <c r="O1" s="237"/>
      <c r="P1" s="237"/>
      <c r="Q1" s="980" t="s">
        <v>739</v>
      </c>
      <c r="R1" s="980"/>
      <c r="S1" s="237"/>
      <c r="T1" s="237"/>
    </row>
    <row r="2" spans="1:20" ht="15.75">
      <c r="A2" s="982" t="s">
        <v>0</v>
      </c>
      <c r="B2" s="982"/>
      <c r="C2" s="982"/>
      <c r="D2" s="982"/>
      <c r="E2" s="982"/>
      <c r="F2" s="982"/>
      <c r="G2" s="982"/>
      <c r="H2" s="982"/>
      <c r="I2" s="982"/>
      <c r="J2" s="982"/>
      <c r="K2" s="982"/>
      <c r="L2" s="982"/>
      <c r="M2" s="982"/>
      <c r="N2" s="982"/>
      <c r="O2" s="982"/>
      <c r="P2" s="982"/>
      <c r="Q2" s="982"/>
      <c r="R2" s="982"/>
      <c r="S2" s="237"/>
      <c r="T2" s="237"/>
    </row>
    <row r="3" spans="1:20" ht="18">
      <c r="A3" s="989" t="s">
        <v>854</v>
      </c>
      <c r="B3" s="989"/>
      <c r="C3" s="989"/>
      <c r="D3" s="989"/>
      <c r="E3" s="989"/>
      <c r="F3" s="989"/>
      <c r="G3" s="989"/>
      <c r="H3" s="989"/>
      <c r="I3" s="989"/>
      <c r="J3" s="989"/>
      <c r="K3" s="989"/>
      <c r="L3" s="989"/>
      <c r="M3" s="989"/>
      <c r="N3" s="989"/>
      <c r="O3" s="989"/>
      <c r="P3" s="989"/>
      <c r="Q3" s="989"/>
      <c r="R3" s="989"/>
      <c r="S3" s="237"/>
      <c r="T3" s="237"/>
    </row>
    <row r="4" spans="1:20" ht="12.75" customHeight="1">
      <c r="A4" s="981" t="s">
        <v>968</v>
      </c>
      <c r="B4" s="981"/>
      <c r="C4" s="981"/>
      <c r="D4" s="981"/>
      <c r="E4" s="981"/>
      <c r="F4" s="981"/>
      <c r="G4" s="981"/>
      <c r="H4" s="981"/>
      <c r="I4" s="981"/>
      <c r="J4" s="981"/>
      <c r="K4" s="981"/>
      <c r="L4" s="981"/>
      <c r="M4" s="981"/>
      <c r="N4" s="981"/>
      <c r="O4" s="981"/>
      <c r="P4" s="981"/>
      <c r="Q4" s="237"/>
      <c r="R4" s="237"/>
      <c r="S4" s="237"/>
      <c r="T4" s="237"/>
    </row>
    <row r="5" spans="1:20" s="227" customFormat="1" ht="7.5" customHeight="1">
      <c r="A5" s="981"/>
      <c r="B5" s="981"/>
      <c r="C5" s="981"/>
      <c r="D5" s="981"/>
      <c r="E5" s="981"/>
      <c r="F5" s="981"/>
      <c r="G5" s="981"/>
      <c r="H5" s="981"/>
      <c r="I5" s="981"/>
      <c r="J5" s="981"/>
      <c r="K5" s="981"/>
      <c r="L5" s="981"/>
      <c r="M5" s="981"/>
      <c r="N5" s="981"/>
      <c r="O5" s="981"/>
      <c r="P5" s="981"/>
      <c r="Q5" s="245"/>
      <c r="R5" s="245"/>
      <c r="S5" s="249"/>
      <c r="T5" s="249"/>
    </row>
    <row r="6" spans="1:20" ht="12.75">
      <c r="A6" s="990"/>
      <c r="B6" s="990"/>
      <c r="C6" s="990"/>
      <c r="D6" s="990"/>
      <c r="E6" s="990"/>
      <c r="F6" s="990"/>
      <c r="G6" s="990"/>
      <c r="H6" s="990"/>
      <c r="I6" s="990"/>
      <c r="J6" s="990"/>
      <c r="K6" s="990"/>
      <c r="L6" s="990"/>
      <c r="M6" s="990"/>
      <c r="N6" s="990"/>
      <c r="O6" s="990"/>
      <c r="P6" s="990"/>
      <c r="Q6" s="990"/>
      <c r="R6" s="990"/>
      <c r="S6" s="237"/>
      <c r="T6" s="237"/>
    </row>
    <row r="7" spans="1:20" ht="12.75">
      <c r="A7" s="699" t="s">
        <v>475</v>
      </c>
      <c r="B7" s="699"/>
      <c r="H7" s="246"/>
      <c r="I7" s="237"/>
      <c r="J7" s="237"/>
      <c r="K7" s="237"/>
      <c r="L7" s="988"/>
      <c r="M7" s="988"/>
      <c r="N7" s="988"/>
      <c r="O7" s="988"/>
      <c r="P7" s="988"/>
      <c r="Q7" s="988"/>
      <c r="R7" s="988"/>
      <c r="S7" s="237"/>
      <c r="T7" s="237"/>
    </row>
    <row r="8" spans="1:20" s="399" customFormat="1" ht="30.75" customHeight="1">
      <c r="A8" s="987" t="s">
        <v>2</v>
      </c>
      <c r="B8" s="987" t="s">
        <v>3</v>
      </c>
      <c r="C8" s="984" t="s">
        <v>680</v>
      </c>
      <c r="D8" s="985"/>
      <c r="E8" s="985"/>
      <c r="F8" s="985"/>
      <c r="G8" s="986"/>
      <c r="H8" s="993" t="s">
        <v>81</v>
      </c>
      <c r="I8" s="984" t="s">
        <v>795</v>
      </c>
      <c r="J8" s="985"/>
      <c r="K8" s="985"/>
      <c r="L8" s="986"/>
      <c r="M8" s="984" t="s">
        <v>789</v>
      </c>
      <c r="N8" s="985"/>
      <c r="O8" s="985"/>
      <c r="P8" s="985"/>
      <c r="Q8" s="985"/>
      <c r="R8" s="985"/>
      <c r="S8" s="987" t="s">
        <v>976</v>
      </c>
      <c r="T8" s="987"/>
    </row>
    <row r="9" spans="1:20" s="399" customFormat="1" ht="44.25" customHeight="1">
      <c r="A9" s="987"/>
      <c r="B9" s="987"/>
      <c r="C9" s="395" t="s">
        <v>5</v>
      </c>
      <c r="D9" s="395" t="s">
        <v>6</v>
      </c>
      <c r="E9" s="395" t="s">
        <v>356</v>
      </c>
      <c r="F9" s="394" t="s">
        <v>96</v>
      </c>
      <c r="G9" s="394" t="s">
        <v>226</v>
      </c>
      <c r="H9" s="994"/>
      <c r="I9" s="395" t="s">
        <v>178</v>
      </c>
      <c r="J9" s="395" t="s">
        <v>110</v>
      </c>
      <c r="K9" s="395" t="s">
        <v>111</v>
      </c>
      <c r="L9" s="395" t="s">
        <v>442</v>
      </c>
      <c r="M9" s="533" t="s">
        <v>15</v>
      </c>
      <c r="N9" s="533" t="s">
        <v>807</v>
      </c>
      <c r="O9" s="533" t="s">
        <v>791</v>
      </c>
      <c r="P9" s="533" t="s">
        <v>792</v>
      </c>
      <c r="Q9" s="533" t="s">
        <v>793</v>
      </c>
      <c r="R9" s="533" t="s">
        <v>794</v>
      </c>
      <c r="S9" s="554" t="s">
        <v>977</v>
      </c>
      <c r="T9" s="554" t="s">
        <v>978</v>
      </c>
    </row>
    <row r="10" spans="1:20" s="228" customFormat="1" ht="12.75">
      <c r="A10" s="239">
        <v>1</v>
      </c>
      <c r="B10" s="239">
        <v>2</v>
      </c>
      <c r="C10" s="239">
        <v>3</v>
      </c>
      <c r="D10" s="239">
        <v>4</v>
      </c>
      <c r="E10" s="239">
        <v>5</v>
      </c>
      <c r="F10" s="239">
        <v>6</v>
      </c>
      <c r="G10" s="239">
        <v>7</v>
      </c>
      <c r="H10" s="239">
        <v>8</v>
      </c>
      <c r="I10" s="239">
        <v>9</v>
      </c>
      <c r="J10" s="239">
        <v>10</v>
      </c>
      <c r="K10" s="239">
        <v>11</v>
      </c>
      <c r="L10" s="239">
        <v>12</v>
      </c>
      <c r="M10" s="533">
        <v>13</v>
      </c>
      <c r="N10" s="533">
        <v>14</v>
      </c>
      <c r="O10" s="533">
        <v>15</v>
      </c>
      <c r="P10" s="533">
        <v>16</v>
      </c>
      <c r="Q10" s="533">
        <v>17</v>
      </c>
      <c r="R10" s="533">
        <v>18</v>
      </c>
      <c r="S10" s="566">
        <v>19</v>
      </c>
      <c r="T10" s="566">
        <v>20</v>
      </c>
    </row>
    <row r="11" spans="1:20" ht="12.75">
      <c r="A11" s="8">
        <v>1</v>
      </c>
      <c r="B11" s="19" t="s">
        <v>476</v>
      </c>
      <c r="C11" s="348">
        <v>23036.50060595098</v>
      </c>
      <c r="D11" s="348">
        <v>3363.216379310345</v>
      </c>
      <c r="E11" s="348">
        <f>'enrolment vs availed_UPY'!J11</f>
        <v>0</v>
      </c>
      <c r="F11" s="348">
        <v>0</v>
      </c>
      <c r="G11" s="348">
        <f>SUM(C11:F11)</f>
        <v>26399.716985261326</v>
      </c>
      <c r="H11" s="335">
        <v>230</v>
      </c>
      <c r="I11" s="350">
        <f>J11+K11+L11</f>
        <v>910.7902359915157</v>
      </c>
      <c r="J11" s="350">
        <f>G11*230*0.00015</f>
        <v>910.7902359915157</v>
      </c>
      <c r="K11" s="350">
        <v>0</v>
      </c>
      <c r="L11" s="350">
        <v>0</v>
      </c>
      <c r="M11" s="350">
        <f>N11+O11+P11+Q11+R11</f>
        <v>60.98334623595366</v>
      </c>
      <c r="N11" s="350">
        <f>G11*77*0.00003</f>
        <v>60.98334623595366</v>
      </c>
      <c r="O11" s="350">
        <v>0</v>
      </c>
      <c r="P11" s="350">
        <v>0</v>
      </c>
      <c r="Q11" s="350">
        <v>0</v>
      </c>
      <c r="R11" s="350">
        <v>0</v>
      </c>
      <c r="S11" s="569">
        <v>1890</v>
      </c>
      <c r="T11" s="569">
        <f>I11*S11/100000</f>
        <v>17.213935460239647</v>
      </c>
    </row>
    <row r="12" spans="1:20" ht="12.75">
      <c r="A12" s="8">
        <v>2</v>
      </c>
      <c r="B12" s="19" t="s">
        <v>477</v>
      </c>
      <c r="C12" s="348">
        <v>18343.520159175183</v>
      </c>
      <c r="D12" s="348">
        <v>0</v>
      </c>
      <c r="E12" s="348">
        <f>'enrolment vs availed_UPY'!J12</f>
        <v>0</v>
      </c>
      <c r="F12" s="348">
        <v>330.55555555555554</v>
      </c>
      <c r="G12" s="348">
        <f aca="true" t="shared" si="0" ref="G12:G18">SUM(C12:F12)</f>
        <v>18674.075714730738</v>
      </c>
      <c r="H12" s="335">
        <v>230</v>
      </c>
      <c r="I12" s="350">
        <f aca="true" t="shared" si="1" ref="I12:I18">J12+K12+L12</f>
        <v>644.2556121582104</v>
      </c>
      <c r="J12" s="350">
        <f aca="true" t="shared" si="2" ref="J12:J18">G12*230*0.00015</f>
        <v>644.2556121582104</v>
      </c>
      <c r="K12" s="350">
        <v>0</v>
      </c>
      <c r="L12" s="350">
        <v>0</v>
      </c>
      <c r="M12" s="350">
        <f aca="true" t="shared" si="3" ref="M12:M18">N12+O12+P12+Q12+R12</f>
        <v>43.137114901028</v>
      </c>
      <c r="N12" s="350">
        <f aca="true" t="shared" si="4" ref="N12:N18">G12*77*0.00003</f>
        <v>43.137114901028</v>
      </c>
      <c r="O12" s="350">
        <v>0</v>
      </c>
      <c r="P12" s="350">
        <v>0</v>
      </c>
      <c r="Q12" s="350">
        <v>0</v>
      </c>
      <c r="R12" s="350">
        <v>0</v>
      </c>
      <c r="S12" s="569">
        <v>1890</v>
      </c>
      <c r="T12" s="569">
        <f aca="true" t="shared" si="5" ref="T12:T18">I12*S12/100000</f>
        <v>12.176431069790176</v>
      </c>
    </row>
    <row r="13" spans="1:20" ht="12.75">
      <c r="A13" s="8">
        <v>3</v>
      </c>
      <c r="B13" s="19" t="s">
        <v>478</v>
      </c>
      <c r="C13" s="348">
        <v>11354.58688613548</v>
      </c>
      <c r="D13" s="348">
        <v>192.80574712643678</v>
      </c>
      <c r="E13" s="348">
        <f>'enrolment vs availed_UPY'!J13</f>
        <v>0</v>
      </c>
      <c r="F13" s="348">
        <v>0</v>
      </c>
      <c r="G13" s="348">
        <f t="shared" si="0"/>
        <v>11547.392633261916</v>
      </c>
      <c r="H13" s="335">
        <v>230</v>
      </c>
      <c r="I13" s="350">
        <f t="shared" si="1"/>
        <v>398.38504584753605</v>
      </c>
      <c r="J13" s="350">
        <f t="shared" si="2"/>
        <v>398.38504584753605</v>
      </c>
      <c r="K13" s="350">
        <v>0</v>
      </c>
      <c r="L13" s="350">
        <v>0</v>
      </c>
      <c r="M13" s="350">
        <f t="shared" si="3"/>
        <v>26.674476982835024</v>
      </c>
      <c r="N13" s="350">
        <f t="shared" si="4"/>
        <v>26.674476982835024</v>
      </c>
      <c r="O13" s="350">
        <v>0</v>
      </c>
      <c r="P13" s="350">
        <v>0</v>
      </c>
      <c r="Q13" s="350">
        <v>0</v>
      </c>
      <c r="R13" s="350">
        <v>0</v>
      </c>
      <c r="S13" s="569">
        <v>1890</v>
      </c>
      <c r="T13" s="569">
        <f t="shared" si="5"/>
        <v>7.529477366518432</v>
      </c>
    </row>
    <row r="14" spans="1:20" ht="12.75">
      <c r="A14" s="8">
        <v>4</v>
      </c>
      <c r="B14" s="19" t="s">
        <v>479</v>
      </c>
      <c r="C14" s="348">
        <v>15814.317807723613</v>
      </c>
      <c r="D14" s="348">
        <v>335.07772988505747</v>
      </c>
      <c r="E14" s="348">
        <f>'enrolment vs availed_UPY'!J14</f>
        <v>0</v>
      </c>
      <c r="F14" s="348">
        <v>41.22222222222222</v>
      </c>
      <c r="G14" s="348">
        <f t="shared" si="0"/>
        <v>16190.617759830893</v>
      </c>
      <c r="H14" s="335">
        <v>230</v>
      </c>
      <c r="I14" s="350">
        <f t="shared" si="1"/>
        <v>558.5763127141657</v>
      </c>
      <c r="J14" s="350">
        <f t="shared" si="2"/>
        <v>558.5763127141657</v>
      </c>
      <c r="K14" s="350">
        <v>0</v>
      </c>
      <c r="L14" s="350">
        <v>0</v>
      </c>
      <c r="M14" s="350">
        <f t="shared" si="3"/>
        <v>37.400327025209364</v>
      </c>
      <c r="N14" s="350">
        <f t="shared" si="4"/>
        <v>37.400327025209364</v>
      </c>
      <c r="O14" s="350">
        <v>0</v>
      </c>
      <c r="P14" s="350">
        <v>0</v>
      </c>
      <c r="Q14" s="350">
        <v>0</v>
      </c>
      <c r="R14" s="350">
        <v>0</v>
      </c>
      <c r="S14" s="569">
        <v>1890</v>
      </c>
      <c r="T14" s="569">
        <f t="shared" si="5"/>
        <v>10.557092310297731</v>
      </c>
    </row>
    <row r="15" spans="1:20" ht="12.75">
      <c r="A15" s="8">
        <v>5</v>
      </c>
      <c r="B15" s="19" t="s">
        <v>480</v>
      </c>
      <c r="C15" s="348">
        <v>17378.644623315548</v>
      </c>
      <c r="D15" s="348">
        <v>356.06867816091955</v>
      </c>
      <c r="E15" s="348">
        <f>'enrolment vs availed_UPY'!J15</f>
        <v>0</v>
      </c>
      <c r="F15" s="348">
        <v>0</v>
      </c>
      <c r="G15" s="348">
        <f t="shared" si="0"/>
        <v>17734.713301476466</v>
      </c>
      <c r="H15" s="335">
        <v>230</v>
      </c>
      <c r="I15" s="350">
        <f t="shared" si="1"/>
        <v>611.847608900938</v>
      </c>
      <c r="J15" s="350">
        <f t="shared" si="2"/>
        <v>611.847608900938</v>
      </c>
      <c r="K15" s="350">
        <v>0</v>
      </c>
      <c r="L15" s="350">
        <v>0</v>
      </c>
      <c r="M15" s="350">
        <f t="shared" si="3"/>
        <v>40.967187726410636</v>
      </c>
      <c r="N15" s="350">
        <f t="shared" si="4"/>
        <v>40.967187726410636</v>
      </c>
      <c r="O15" s="350">
        <v>0</v>
      </c>
      <c r="P15" s="350">
        <v>0</v>
      </c>
      <c r="Q15" s="350">
        <v>0</v>
      </c>
      <c r="R15" s="350">
        <v>0</v>
      </c>
      <c r="S15" s="569">
        <v>1890</v>
      </c>
      <c r="T15" s="569">
        <f t="shared" si="5"/>
        <v>11.563919808227727</v>
      </c>
    </row>
    <row r="16" spans="1:20" ht="12.75">
      <c r="A16" s="8">
        <v>6</v>
      </c>
      <c r="B16" s="19" t="s">
        <v>481</v>
      </c>
      <c r="C16" s="348">
        <v>11290.054517500226</v>
      </c>
      <c r="D16" s="348">
        <v>588.5239942528735</v>
      </c>
      <c r="E16" s="348">
        <f>'enrolment vs availed_UPY'!J16</f>
        <v>0</v>
      </c>
      <c r="F16" s="348">
        <v>138.44444444444446</v>
      </c>
      <c r="G16" s="348">
        <f t="shared" si="0"/>
        <v>12017.022956197545</v>
      </c>
      <c r="H16" s="335">
        <v>230</v>
      </c>
      <c r="I16" s="350">
        <f t="shared" si="1"/>
        <v>414.58729198881525</v>
      </c>
      <c r="J16" s="350">
        <f t="shared" si="2"/>
        <v>414.58729198881525</v>
      </c>
      <c r="K16" s="350">
        <v>0</v>
      </c>
      <c r="L16" s="350">
        <v>0</v>
      </c>
      <c r="M16" s="350">
        <f t="shared" si="3"/>
        <v>27.75932302881633</v>
      </c>
      <c r="N16" s="350">
        <f t="shared" si="4"/>
        <v>27.75932302881633</v>
      </c>
      <c r="O16" s="350">
        <v>0</v>
      </c>
      <c r="P16" s="350">
        <v>0</v>
      </c>
      <c r="Q16" s="350">
        <v>0</v>
      </c>
      <c r="R16" s="350">
        <v>0</v>
      </c>
      <c r="S16" s="569">
        <v>1890</v>
      </c>
      <c r="T16" s="569">
        <f t="shared" si="5"/>
        <v>7.835699818588608</v>
      </c>
    </row>
    <row r="17" spans="1:20" ht="12.75">
      <c r="A17" s="8">
        <v>7</v>
      </c>
      <c r="B17" s="19" t="s">
        <v>482</v>
      </c>
      <c r="C17" s="348">
        <v>15659.595622682464</v>
      </c>
      <c r="D17" s="348">
        <v>461.8008620689655</v>
      </c>
      <c r="E17" s="348">
        <f>'enrolment vs availed_UPY'!J17</f>
        <v>0</v>
      </c>
      <c r="F17" s="348">
        <v>266.77777777777777</v>
      </c>
      <c r="G17" s="348">
        <f t="shared" si="0"/>
        <v>16388.174262529206</v>
      </c>
      <c r="H17" s="335">
        <v>230</v>
      </c>
      <c r="I17" s="350">
        <f t="shared" si="1"/>
        <v>565.3920120572576</v>
      </c>
      <c r="J17" s="350">
        <f t="shared" si="2"/>
        <v>565.3920120572576</v>
      </c>
      <c r="K17" s="350">
        <v>0</v>
      </c>
      <c r="L17" s="350">
        <v>0</v>
      </c>
      <c r="M17" s="350">
        <f t="shared" si="3"/>
        <v>37.856682546442464</v>
      </c>
      <c r="N17" s="350">
        <f t="shared" si="4"/>
        <v>37.856682546442464</v>
      </c>
      <c r="O17" s="350">
        <v>0</v>
      </c>
      <c r="P17" s="350">
        <v>0</v>
      </c>
      <c r="Q17" s="350">
        <v>0</v>
      </c>
      <c r="R17" s="350">
        <v>0</v>
      </c>
      <c r="S17" s="569">
        <v>1890</v>
      </c>
      <c r="T17" s="569">
        <f t="shared" si="5"/>
        <v>10.68590902788217</v>
      </c>
    </row>
    <row r="18" spans="1:20" ht="12.75">
      <c r="A18" s="8">
        <v>8</v>
      </c>
      <c r="B18" s="19" t="s">
        <v>483</v>
      </c>
      <c r="C18" s="348">
        <v>16074.779777516505</v>
      </c>
      <c r="D18" s="348">
        <v>113.5066091954023</v>
      </c>
      <c r="E18" s="348">
        <f>'enrolment vs availed_UPY'!J18</f>
        <v>0</v>
      </c>
      <c r="F18" s="348">
        <v>0</v>
      </c>
      <c r="G18" s="348">
        <f t="shared" si="0"/>
        <v>16188.286386711909</v>
      </c>
      <c r="H18" s="335">
        <v>230</v>
      </c>
      <c r="I18" s="350">
        <f t="shared" si="1"/>
        <v>558.4958803415608</v>
      </c>
      <c r="J18" s="350">
        <f t="shared" si="2"/>
        <v>558.4958803415608</v>
      </c>
      <c r="K18" s="350">
        <v>0</v>
      </c>
      <c r="L18" s="350">
        <v>0</v>
      </c>
      <c r="M18" s="350">
        <f t="shared" si="3"/>
        <v>37.39494155330451</v>
      </c>
      <c r="N18" s="350">
        <f t="shared" si="4"/>
        <v>37.39494155330451</v>
      </c>
      <c r="O18" s="350">
        <v>0</v>
      </c>
      <c r="P18" s="350">
        <v>0</v>
      </c>
      <c r="Q18" s="350">
        <v>0</v>
      </c>
      <c r="R18" s="350">
        <v>0</v>
      </c>
      <c r="S18" s="569">
        <v>1890</v>
      </c>
      <c r="T18" s="569">
        <f t="shared" si="5"/>
        <v>10.5555721384555</v>
      </c>
    </row>
    <row r="19" spans="1:20" ht="12.75">
      <c r="A19" s="3"/>
      <c r="B19" s="27" t="s">
        <v>484</v>
      </c>
      <c r="C19" s="348">
        <f>SUM(C11:C18)</f>
        <v>128952</v>
      </c>
      <c r="D19" s="348">
        <f>SUM(D11:D18)</f>
        <v>5411</v>
      </c>
      <c r="E19" s="348">
        <f>SUM(E11:E18)</f>
        <v>0</v>
      </c>
      <c r="F19" s="348">
        <f>SUM(F11:F18)</f>
        <v>777</v>
      </c>
      <c r="G19" s="348">
        <f>SUM(G11:G18)</f>
        <v>135140</v>
      </c>
      <c r="H19" s="241"/>
      <c r="I19" s="350">
        <f aca="true" t="shared" si="6" ref="I19:R19">SUM(I11:I18)</f>
        <v>4662.33</v>
      </c>
      <c r="J19" s="350">
        <f t="shared" si="6"/>
        <v>4662.33</v>
      </c>
      <c r="K19" s="350">
        <f t="shared" si="6"/>
        <v>0</v>
      </c>
      <c r="L19" s="350">
        <f t="shared" si="6"/>
        <v>0</v>
      </c>
      <c r="M19" s="350">
        <f t="shared" si="6"/>
        <v>312.1734</v>
      </c>
      <c r="N19" s="350">
        <f t="shared" si="6"/>
        <v>312.1734</v>
      </c>
      <c r="O19" s="350">
        <f t="shared" si="6"/>
        <v>0</v>
      </c>
      <c r="P19" s="350">
        <f t="shared" si="6"/>
        <v>0</v>
      </c>
      <c r="Q19" s="350">
        <f t="shared" si="6"/>
        <v>0</v>
      </c>
      <c r="R19" s="350">
        <f t="shared" si="6"/>
        <v>0</v>
      </c>
      <c r="S19" s="569">
        <v>1890</v>
      </c>
      <c r="T19" s="350">
        <f>SUM(T11:T18)</f>
        <v>88.118037</v>
      </c>
    </row>
    <row r="20" spans="1:20" ht="12.75">
      <c r="A20" s="242"/>
      <c r="B20" s="242"/>
      <c r="C20" s="242"/>
      <c r="D20" s="589"/>
      <c r="E20" s="589"/>
      <c r="F20" s="589"/>
      <c r="G20" s="242"/>
      <c r="H20" s="242"/>
      <c r="I20" s="237"/>
      <c r="J20" s="237"/>
      <c r="K20" s="237"/>
      <c r="L20" s="237"/>
      <c r="M20" s="237"/>
      <c r="N20" s="237"/>
      <c r="O20" s="237"/>
      <c r="P20" s="237"/>
      <c r="Q20" s="237"/>
      <c r="R20" s="237"/>
      <c r="S20" s="237"/>
      <c r="T20" s="237"/>
    </row>
    <row r="21" spans="1:20" ht="12.75">
      <c r="A21" s="243" t="s">
        <v>7</v>
      </c>
      <c r="B21" s="477"/>
      <c r="C21" s="477"/>
      <c r="D21" s="589"/>
      <c r="E21" s="589"/>
      <c r="F21" s="589"/>
      <c r="G21" s="242"/>
      <c r="H21" s="242"/>
      <c r="I21" s="237"/>
      <c r="J21" s="237"/>
      <c r="K21" s="237"/>
      <c r="L21" s="237"/>
      <c r="M21" s="237"/>
      <c r="N21" s="237"/>
      <c r="O21" s="237"/>
      <c r="P21" s="237" t="s">
        <v>10</v>
      </c>
      <c r="Q21" s="237"/>
      <c r="R21" s="237"/>
      <c r="S21" s="237"/>
      <c r="T21" s="237"/>
    </row>
    <row r="22" spans="1:20" ht="12.75">
      <c r="A22" s="244" t="s">
        <v>8</v>
      </c>
      <c r="B22" s="244"/>
      <c r="C22" s="244"/>
      <c r="D22" s="589"/>
      <c r="E22" s="589"/>
      <c r="F22" s="589"/>
      <c r="H22" s="237" t="s">
        <v>10</v>
      </c>
      <c r="I22" s="237"/>
      <c r="J22" s="237"/>
      <c r="K22" s="237"/>
      <c r="L22" s="237"/>
      <c r="M22" s="237"/>
      <c r="N22" s="237"/>
      <c r="O22" s="237"/>
      <c r="P22" s="237"/>
      <c r="Q22" s="237"/>
      <c r="R22" s="237"/>
      <c r="S22" s="237"/>
      <c r="T22" s="237"/>
    </row>
    <row r="23" spans="1:20" ht="12.75">
      <c r="A23" s="244" t="s">
        <v>9</v>
      </c>
      <c r="B23" s="244"/>
      <c r="C23" s="244"/>
      <c r="D23" s="589"/>
      <c r="E23" s="589"/>
      <c r="F23" s="589"/>
      <c r="I23" s="237"/>
      <c r="J23" s="237"/>
      <c r="K23" s="237"/>
      <c r="L23" s="237"/>
      <c r="M23" s="237"/>
      <c r="N23" s="237"/>
      <c r="O23" s="237"/>
      <c r="P23" s="237"/>
      <c r="Q23" s="237"/>
      <c r="R23" s="237"/>
      <c r="S23" s="237"/>
      <c r="T23" s="237"/>
    </row>
    <row r="24" spans="1:20" ht="12.75">
      <c r="A24" s="244"/>
      <c r="B24" s="244"/>
      <c r="C24" s="244"/>
      <c r="D24" s="589"/>
      <c r="E24" s="589"/>
      <c r="F24" s="589"/>
      <c r="I24" s="237"/>
      <c r="J24" s="237"/>
      <c r="K24" s="237"/>
      <c r="L24" s="237"/>
      <c r="M24" s="237"/>
      <c r="N24" s="237"/>
      <c r="O24" s="237"/>
      <c r="P24" s="237"/>
      <c r="Q24" s="237"/>
      <c r="R24" s="237"/>
      <c r="S24" s="237"/>
      <c r="T24" s="237"/>
    </row>
    <row r="25" spans="1:20" ht="12.75" customHeight="1">
      <c r="A25" s="244" t="s">
        <v>11</v>
      </c>
      <c r="D25" s="589"/>
      <c r="E25" s="589"/>
      <c r="F25" s="589"/>
      <c r="H25" s="244"/>
      <c r="I25" s="237"/>
      <c r="J25" s="244"/>
      <c r="K25" s="244"/>
      <c r="L25" s="244"/>
      <c r="M25" s="244"/>
      <c r="N25" s="244"/>
      <c r="O25" s="991"/>
      <c r="P25" s="991"/>
      <c r="Q25" s="991"/>
      <c r="R25" s="991"/>
      <c r="S25" s="237"/>
      <c r="T25" s="237"/>
    </row>
    <row r="26" spans="4:20" ht="12.75" customHeight="1">
      <c r="D26" s="589"/>
      <c r="E26" s="589"/>
      <c r="F26" s="589"/>
      <c r="I26" s="244"/>
      <c r="J26" s="237"/>
      <c r="K26" s="293"/>
      <c r="L26" s="293"/>
      <c r="M26" s="293"/>
      <c r="N26" s="293"/>
      <c r="O26" s="992" t="s">
        <v>819</v>
      </c>
      <c r="P26" s="992"/>
      <c r="Q26" s="992"/>
      <c r="R26" s="992"/>
      <c r="S26" s="237"/>
      <c r="T26" s="237"/>
    </row>
    <row r="27" spans="4:20" ht="12.75" customHeight="1">
      <c r="D27" s="589"/>
      <c r="E27" s="589"/>
      <c r="F27" s="589"/>
      <c r="I27" s="237"/>
      <c r="J27" s="293"/>
      <c r="K27" s="293"/>
      <c r="L27" s="293"/>
      <c r="M27" s="293"/>
      <c r="N27" s="293"/>
      <c r="O27" s="992" t="s">
        <v>487</v>
      </c>
      <c r="P27" s="992"/>
      <c r="Q27" s="992"/>
      <c r="R27" s="992"/>
      <c r="S27" s="237"/>
      <c r="T27" s="237"/>
    </row>
    <row r="28" spans="1:20" ht="12.75">
      <c r="A28" s="244"/>
      <c r="B28" s="244"/>
      <c r="D28" s="552"/>
      <c r="E28" s="552"/>
      <c r="F28" s="552"/>
      <c r="I28" s="237"/>
      <c r="J28" s="244"/>
      <c r="K28" s="244"/>
      <c r="L28" s="244"/>
      <c r="M28" s="244"/>
      <c r="N28" s="244"/>
      <c r="O28" s="244"/>
      <c r="P28" s="414" t="s">
        <v>80</v>
      </c>
      <c r="Q28" s="414"/>
      <c r="R28" s="415"/>
      <c r="S28" s="237"/>
      <c r="T28" s="237"/>
    </row>
    <row r="29" spans="2:10" ht="12.75">
      <c r="B29" s="242"/>
      <c r="C29" s="21"/>
      <c r="D29" s="21"/>
      <c r="E29" s="21"/>
      <c r="F29" s="21"/>
      <c r="G29" s="21"/>
      <c r="H29" s="589"/>
      <c r="I29" s="640"/>
      <c r="J29" s="640"/>
    </row>
    <row r="30" spans="1:18" ht="12.75">
      <c r="A30" s="551"/>
      <c r="B30" s="639"/>
      <c r="C30" s="21"/>
      <c r="D30" s="21"/>
      <c r="E30" s="21"/>
      <c r="F30" s="21"/>
      <c r="G30" s="21"/>
      <c r="H30" s="589"/>
      <c r="I30" s="639"/>
      <c r="J30" s="639"/>
      <c r="K30" s="551"/>
      <c r="L30" s="551"/>
      <c r="M30" s="551"/>
      <c r="N30" s="551"/>
      <c r="O30" s="551"/>
      <c r="P30" s="551"/>
      <c r="Q30" s="551"/>
      <c r="R30" s="551"/>
    </row>
    <row r="31" spans="2:10" ht="12.75">
      <c r="B31" s="242"/>
      <c r="C31" s="21"/>
      <c r="D31" s="21"/>
      <c r="E31" s="21"/>
      <c r="F31" s="21"/>
      <c r="G31" s="21"/>
      <c r="H31" s="589"/>
      <c r="I31" s="640"/>
      <c r="J31" s="640"/>
    </row>
    <row r="32" spans="2:10" ht="12.75">
      <c r="B32" s="242"/>
      <c r="C32" s="21"/>
      <c r="D32" s="21"/>
      <c r="E32" s="21"/>
      <c r="F32" s="21"/>
      <c r="G32" s="21"/>
      <c r="H32" s="589"/>
      <c r="I32" s="640"/>
      <c r="J32" s="640"/>
    </row>
    <row r="33" spans="2:10" ht="12.75">
      <c r="B33" s="242"/>
      <c r="C33" s="21"/>
      <c r="D33" s="21"/>
      <c r="E33" s="21"/>
      <c r="F33" s="21"/>
      <c r="G33" s="21"/>
      <c r="H33" s="589"/>
      <c r="I33" s="640"/>
      <c r="J33" s="640"/>
    </row>
    <row r="34" spans="2:10" ht="12.75">
      <c r="B34" s="242"/>
      <c r="C34" s="21"/>
      <c r="D34" s="21"/>
      <c r="E34" s="21"/>
      <c r="F34" s="21"/>
      <c r="G34" s="21"/>
      <c r="H34" s="589"/>
      <c r="I34" s="640"/>
      <c r="J34" s="640"/>
    </row>
    <row r="35" spans="2:10" ht="12.75">
      <c r="B35" s="242"/>
      <c r="C35" s="21"/>
      <c r="D35" s="21"/>
      <c r="E35" s="21"/>
      <c r="F35" s="21"/>
      <c r="G35" s="21"/>
      <c r="H35" s="589"/>
      <c r="I35" s="640"/>
      <c r="J35" s="640"/>
    </row>
    <row r="36" spans="2:10" ht="12.75">
      <c r="B36" s="242"/>
      <c r="C36" s="21"/>
      <c r="D36" s="21"/>
      <c r="E36" s="21"/>
      <c r="F36" s="21"/>
      <c r="G36" s="21"/>
      <c r="H36" s="589"/>
      <c r="I36" s="640"/>
      <c r="J36" s="640"/>
    </row>
    <row r="37" spans="2:10" ht="12.75">
      <c r="B37" s="242"/>
      <c r="C37" s="28"/>
      <c r="D37" s="28"/>
      <c r="E37" s="28"/>
      <c r="F37" s="28"/>
      <c r="G37" s="28"/>
      <c r="H37" s="242"/>
      <c r="I37" s="640"/>
      <c r="J37" s="640"/>
    </row>
    <row r="38" spans="2:10" ht="12.75">
      <c r="B38" s="242"/>
      <c r="C38" s="242"/>
      <c r="D38" s="242"/>
      <c r="E38" s="242"/>
      <c r="F38" s="242"/>
      <c r="G38" s="242"/>
      <c r="H38" s="242"/>
      <c r="I38" s="640"/>
      <c r="J38" s="640"/>
    </row>
    <row r="39" spans="2:10" ht="12.75">
      <c r="B39" s="242"/>
      <c r="C39" s="589"/>
      <c r="D39" s="589"/>
      <c r="E39" s="589"/>
      <c r="F39" s="242"/>
      <c r="G39" s="242"/>
      <c r="H39" s="242"/>
      <c r="I39" s="640"/>
      <c r="J39" s="640"/>
    </row>
  </sheetData>
  <sheetProtection/>
  <mergeCells count="18">
    <mergeCell ref="O26:R26"/>
    <mergeCell ref="O25:R25"/>
    <mergeCell ref="O27:R27"/>
    <mergeCell ref="G1:I1"/>
    <mergeCell ref="Q1:R1"/>
    <mergeCell ref="A2:R2"/>
    <mergeCell ref="A3:R3"/>
    <mergeCell ref="A4:P5"/>
    <mergeCell ref="B8:B9"/>
    <mergeCell ref="C8:G8"/>
    <mergeCell ref="S8:T8"/>
    <mergeCell ref="A6:R6"/>
    <mergeCell ref="A7:B7"/>
    <mergeCell ref="L7:R7"/>
    <mergeCell ref="A8:A9"/>
    <mergeCell ref="H8:H9"/>
    <mergeCell ref="I8:L8"/>
    <mergeCell ref="M8:R8"/>
  </mergeCells>
  <printOptions horizontalCentered="1"/>
  <pageMargins left="0.45" right="0.16" top="1.24" bottom="0" header="0.76" footer="0.31496062992125984"/>
  <pageSetup fitToHeight="1" fitToWidth="1" horizontalDpi="600" verticalDpi="600" orientation="landscape" paperSize="9" scale="76" r:id="rId1"/>
</worksheet>
</file>

<file path=xl/worksheets/sheet59.xml><?xml version="1.0" encoding="utf-8"?>
<worksheet xmlns="http://schemas.openxmlformats.org/spreadsheetml/2006/main" xmlns:r="http://schemas.openxmlformats.org/officeDocument/2006/relationships">
  <sheetPr>
    <pageSetUpPr fitToPage="1"/>
  </sheetPr>
  <dimension ref="A1:R30"/>
  <sheetViews>
    <sheetView view="pageBreakPreview" zoomScaleSheetLayoutView="100" zoomScalePageLayoutView="0" workbookViewId="0" topLeftCell="A1">
      <selection activeCell="G13" sqref="G13:N15"/>
    </sheetView>
  </sheetViews>
  <sheetFormatPr defaultColWidth="9.140625" defaultRowHeight="12.75"/>
  <cols>
    <col min="1" max="1" width="5.28125" style="237" customWidth="1"/>
    <col min="2" max="2" width="10.57421875" style="237" customWidth="1"/>
    <col min="3" max="3" width="17.8515625" style="237" customWidth="1"/>
    <col min="4" max="4" width="10.8515625" style="237" customWidth="1"/>
    <col min="5" max="5" width="4.57421875" style="237" customWidth="1"/>
    <col min="6" max="6" width="0.2890625" style="237" hidden="1" customWidth="1"/>
    <col min="7" max="7" width="8.7109375" style="237" customWidth="1"/>
    <col min="8" max="9" width="8.00390625" style="237" customWidth="1"/>
    <col min="10" max="12" width="8.140625" style="237" customWidth="1"/>
    <col min="13" max="13" width="10.140625" style="237" customWidth="1"/>
    <col min="14" max="14" width="11.421875" style="237" customWidth="1"/>
    <col min="15" max="15" width="11.7109375" style="237" customWidth="1"/>
    <col min="16" max="16" width="11.140625" style="237" customWidth="1"/>
    <col min="17" max="18" width="12.421875" style="237" customWidth="1"/>
    <col min="19" max="16384" width="9.140625" style="237" customWidth="1"/>
  </cols>
  <sheetData>
    <row r="1" spans="4:16" ht="15">
      <c r="D1" s="983"/>
      <c r="E1" s="983"/>
      <c r="F1" s="983"/>
      <c r="G1" s="983"/>
      <c r="O1" s="980" t="s">
        <v>740</v>
      </c>
      <c r="P1" s="980"/>
    </row>
    <row r="2" spans="1:16" ht="15.75">
      <c r="A2" s="982" t="s">
        <v>0</v>
      </c>
      <c r="B2" s="982"/>
      <c r="C2" s="982"/>
      <c r="D2" s="982"/>
      <c r="E2" s="982"/>
      <c r="F2" s="982"/>
      <c r="G2" s="982"/>
      <c r="H2" s="982"/>
      <c r="I2" s="982"/>
      <c r="J2" s="982"/>
      <c r="K2" s="982"/>
      <c r="L2" s="982"/>
      <c r="M2" s="982"/>
      <c r="N2" s="982"/>
      <c r="O2" s="982"/>
      <c r="P2" s="982"/>
    </row>
    <row r="3" spans="1:16" ht="20.25">
      <c r="A3" s="995" t="s">
        <v>854</v>
      </c>
      <c r="B3" s="995"/>
      <c r="C3" s="995"/>
      <c r="D3" s="995"/>
      <c r="E3" s="995"/>
      <c r="F3" s="995"/>
      <c r="G3" s="995"/>
      <c r="H3" s="995"/>
      <c r="I3" s="995"/>
      <c r="J3" s="995"/>
      <c r="K3" s="995"/>
      <c r="L3" s="995"/>
      <c r="M3" s="995"/>
      <c r="N3" s="995"/>
      <c r="O3" s="995"/>
      <c r="P3" s="995"/>
    </row>
    <row r="5" spans="1:16" s="249" customFormat="1" ht="15.75">
      <c r="A5" s="981" t="s">
        <v>969</v>
      </c>
      <c r="B5" s="981"/>
      <c r="C5" s="981"/>
      <c r="D5" s="981"/>
      <c r="E5" s="981"/>
      <c r="F5" s="981"/>
      <c r="G5" s="981"/>
      <c r="H5" s="981"/>
      <c r="I5" s="981"/>
      <c r="J5" s="981"/>
      <c r="K5" s="981"/>
      <c r="L5" s="981"/>
      <c r="M5" s="981"/>
      <c r="N5" s="981"/>
      <c r="O5" s="981"/>
      <c r="P5" s="981"/>
    </row>
    <row r="6" spans="1:16" ht="12.75">
      <c r="A6" s="990"/>
      <c r="B6" s="990"/>
      <c r="C6" s="990"/>
      <c r="D6" s="990"/>
      <c r="E6" s="990"/>
      <c r="F6" s="990"/>
      <c r="G6" s="990"/>
      <c r="H6" s="990"/>
      <c r="I6" s="990"/>
      <c r="J6" s="990"/>
      <c r="K6" s="990"/>
      <c r="L6" s="990"/>
      <c r="M6" s="990"/>
      <c r="N6" s="990"/>
      <c r="O6" s="990"/>
      <c r="P6" s="990"/>
    </row>
    <row r="7" spans="1:16" ht="12.75">
      <c r="A7" s="699" t="s">
        <v>475</v>
      </c>
      <c r="B7" s="699"/>
      <c r="D7" s="246"/>
      <c r="E7" s="246"/>
      <c r="J7" s="988"/>
      <c r="K7" s="988"/>
      <c r="L7" s="988"/>
      <c r="M7" s="988"/>
      <c r="N7" s="988"/>
      <c r="O7" s="988"/>
      <c r="P7" s="988"/>
    </row>
    <row r="8" spans="1:18" s="294" customFormat="1" ht="30.75" customHeight="1">
      <c r="A8" s="987" t="s">
        <v>495</v>
      </c>
      <c r="B8" s="987" t="s">
        <v>3</v>
      </c>
      <c r="C8" s="996" t="s">
        <v>681</v>
      </c>
      <c r="D8" s="993" t="s">
        <v>81</v>
      </c>
      <c r="E8" s="998"/>
      <c r="F8" s="999"/>
      <c r="G8" s="984" t="s">
        <v>796</v>
      </c>
      <c r="H8" s="985"/>
      <c r="I8" s="985"/>
      <c r="J8" s="986"/>
      <c r="K8" s="984" t="s">
        <v>789</v>
      </c>
      <c r="L8" s="985"/>
      <c r="M8" s="985"/>
      <c r="N8" s="985"/>
      <c r="O8" s="985"/>
      <c r="P8" s="985"/>
      <c r="Q8" s="987" t="s">
        <v>976</v>
      </c>
      <c r="R8" s="987"/>
    </row>
    <row r="9" spans="1:18" s="294" customFormat="1" ht="44.25" customHeight="1">
      <c r="A9" s="987"/>
      <c r="B9" s="987"/>
      <c r="C9" s="997"/>
      <c r="D9" s="994"/>
      <c r="E9" s="1000"/>
      <c r="F9" s="1001"/>
      <c r="G9" s="291" t="s">
        <v>178</v>
      </c>
      <c r="H9" s="291" t="s">
        <v>110</v>
      </c>
      <c r="I9" s="291" t="s">
        <v>111</v>
      </c>
      <c r="J9" s="291" t="s">
        <v>442</v>
      </c>
      <c r="K9" s="525" t="s">
        <v>15</v>
      </c>
      <c r="L9" s="525" t="s">
        <v>790</v>
      </c>
      <c r="M9" s="525" t="s">
        <v>791</v>
      </c>
      <c r="N9" s="525" t="s">
        <v>792</v>
      </c>
      <c r="O9" s="525" t="s">
        <v>793</v>
      </c>
      <c r="P9" s="525" t="s">
        <v>794</v>
      </c>
      <c r="Q9" s="554" t="s">
        <v>977</v>
      </c>
      <c r="R9" s="554" t="s">
        <v>978</v>
      </c>
    </row>
    <row r="10" spans="1:18" s="244" customFormat="1" ht="12.75">
      <c r="A10" s="239">
        <v>1</v>
      </c>
      <c r="B10" s="239">
        <v>2</v>
      </c>
      <c r="C10" s="239">
        <v>3</v>
      </c>
      <c r="D10" s="1002">
        <v>4</v>
      </c>
      <c r="E10" s="1003"/>
      <c r="F10" s="1004"/>
      <c r="G10" s="239">
        <v>5</v>
      </c>
      <c r="H10" s="239">
        <v>6</v>
      </c>
      <c r="I10" s="239">
        <v>7</v>
      </c>
      <c r="J10" s="239">
        <v>8</v>
      </c>
      <c r="K10" s="239">
        <v>9</v>
      </c>
      <c r="L10" s="239">
        <v>10</v>
      </c>
      <c r="M10" s="239">
        <v>11</v>
      </c>
      <c r="N10" s="239">
        <v>12</v>
      </c>
      <c r="O10" s="239">
        <v>13</v>
      </c>
      <c r="P10" s="239">
        <v>14</v>
      </c>
      <c r="Q10" s="239">
        <v>15</v>
      </c>
      <c r="R10" s="239">
        <v>16</v>
      </c>
    </row>
    <row r="11" spans="1:18" ht="12.75">
      <c r="A11" s="8">
        <v>1</v>
      </c>
      <c r="B11" s="19" t="s">
        <v>476</v>
      </c>
      <c r="C11" s="240"/>
      <c r="D11" s="1005"/>
      <c r="E11" s="1006"/>
      <c r="F11" s="1007"/>
      <c r="G11" s="240"/>
      <c r="H11" s="240"/>
      <c r="I11" s="240"/>
      <c r="J11" s="240"/>
      <c r="K11" s="240"/>
      <c r="L11" s="240"/>
      <c r="M11" s="240"/>
      <c r="N11" s="240"/>
      <c r="O11" s="240"/>
      <c r="P11" s="247"/>
      <c r="Q11" s="240"/>
      <c r="R11" s="240"/>
    </row>
    <row r="12" spans="1:18" ht="12.75">
      <c r="A12" s="8">
        <v>2</v>
      </c>
      <c r="B12" s="19" t="s">
        <v>477</v>
      </c>
      <c r="C12" s="240"/>
      <c r="D12" s="1005"/>
      <c r="E12" s="1006"/>
      <c r="F12" s="1007"/>
      <c r="G12" s="240"/>
      <c r="H12" s="240"/>
      <c r="I12" s="240"/>
      <c r="J12" s="240"/>
      <c r="K12" s="240"/>
      <c r="L12" s="240"/>
      <c r="M12" s="240"/>
      <c r="N12" s="240"/>
      <c r="O12" s="240"/>
      <c r="P12" s="247"/>
      <c r="Q12" s="240"/>
      <c r="R12" s="240"/>
    </row>
    <row r="13" spans="1:18" ht="12.75">
      <c r="A13" s="8">
        <v>3</v>
      </c>
      <c r="B13" s="19" t="s">
        <v>478</v>
      </c>
      <c r="C13" s="240"/>
      <c r="D13" s="1005"/>
      <c r="E13" s="1006"/>
      <c r="F13" s="1007"/>
      <c r="G13" s="1008" t="s">
        <v>510</v>
      </c>
      <c r="H13" s="1009"/>
      <c r="I13" s="1009"/>
      <c r="J13" s="1009"/>
      <c r="K13" s="1009"/>
      <c r="L13" s="1009"/>
      <c r="M13" s="1009"/>
      <c r="N13" s="1010"/>
      <c r="O13" s="240"/>
      <c r="P13" s="247"/>
      <c r="Q13" s="240"/>
      <c r="R13" s="240"/>
    </row>
    <row r="14" spans="1:18" ht="15.75" customHeight="1">
      <c r="A14" s="8">
        <v>4</v>
      </c>
      <c r="B14" s="19" t="s">
        <v>479</v>
      </c>
      <c r="C14" s="240"/>
      <c r="D14" s="1005"/>
      <c r="E14" s="1006"/>
      <c r="F14" s="1007"/>
      <c r="G14" s="1011"/>
      <c r="H14" s="1012"/>
      <c r="I14" s="1012"/>
      <c r="J14" s="1012"/>
      <c r="K14" s="1012"/>
      <c r="L14" s="1012"/>
      <c r="M14" s="1012"/>
      <c r="N14" s="1013"/>
      <c r="O14" s="240"/>
      <c r="P14" s="247"/>
      <c r="Q14" s="240"/>
      <c r="R14" s="240"/>
    </row>
    <row r="15" spans="1:18" ht="12.75">
      <c r="A15" s="8">
        <v>5</v>
      </c>
      <c r="B15" s="19" t="s">
        <v>480</v>
      </c>
      <c r="C15" s="240"/>
      <c r="D15" s="1005"/>
      <c r="E15" s="1006"/>
      <c r="F15" s="1007"/>
      <c r="G15" s="1014"/>
      <c r="H15" s="1015"/>
      <c r="I15" s="1015"/>
      <c r="J15" s="1015"/>
      <c r="K15" s="1015"/>
      <c r="L15" s="1015"/>
      <c r="M15" s="1015"/>
      <c r="N15" s="1016"/>
      <c r="O15" s="240"/>
      <c r="P15" s="247"/>
      <c r="Q15" s="240"/>
      <c r="R15" s="240"/>
    </row>
    <row r="16" spans="1:18" ht="12.75">
      <c r="A16" s="8">
        <v>6</v>
      </c>
      <c r="B16" s="19" t="s">
        <v>481</v>
      </c>
      <c r="C16" s="240"/>
      <c r="D16" s="1005"/>
      <c r="E16" s="1006"/>
      <c r="F16" s="1007"/>
      <c r="G16" s="240"/>
      <c r="H16" s="240"/>
      <c r="I16" s="240"/>
      <c r="J16" s="240"/>
      <c r="K16" s="240"/>
      <c r="L16" s="240"/>
      <c r="M16" s="240"/>
      <c r="N16" s="240"/>
      <c r="O16" s="240"/>
      <c r="P16" s="247"/>
      <c r="Q16" s="240"/>
      <c r="R16" s="240"/>
    </row>
    <row r="17" spans="1:18" ht="12.75">
      <c r="A17" s="8">
        <v>7</v>
      </c>
      <c r="B17" s="19" t="s">
        <v>482</v>
      </c>
      <c r="C17" s="240"/>
      <c r="D17" s="1005"/>
      <c r="E17" s="1006"/>
      <c r="F17" s="1007"/>
      <c r="G17" s="240"/>
      <c r="H17" s="240"/>
      <c r="I17" s="240"/>
      <c r="J17" s="240"/>
      <c r="K17" s="240"/>
      <c r="L17" s="240"/>
      <c r="M17" s="240"/>
      <c r="N17" s="240"/>
      <c r="O17" s="240"/>
      <c r="P17" s="247"/>
      <c r="Q17" s="240"/>
      <c r="R17" s="240"/>
    </row>
    <row r="18" spans="1:18" ht="12.75">
      <c r="A18" s="8">
        <v>8</v>
      </c>
      <c r="B18" s="19" t="s">
        <v>483</v>
      </c>
      <c r="C18" s="240"/>
      <c r="D18" s="1005"/>
      <c r="E18" s="1006"/>
      <c r="F18" s="1007"/>
      <c r="G18" s="240"/>
      <c r="H18" s="240"/>
      <c r="I18" s="240"/>
      <c r="J18" s="240"/>
      <c r="K18" s="240"/>
      <c r="L18" s="240"/>
      <c r="M18" s="240"/>
      <c r="N18" s="240"/>
      <c r="O18" s="240"/>
      <c r="P18" s="247"/>
      <c r="Q18" s="240"/>
      <c r="R18" s="240"/>
    </row>
    <row r="19" spans="1:18" ht="12.75">
      <c r="A19" s="3"/>
      <c r="B19" s="27" t="s">
        <v>484</v>
      </c>
      <c r="C19" s="240"/>
      <c r="D19" s="1005"/>
      <c r="E19" s="1006"/>
      <c r="F19" s="1007"/>
      <c r="G19" s="240"/>
      <c r="H19" s="240"/>
      <c r="I19" s="240"/>
      <c r="J19" s="240"/>
      <c r="K19" s="240"/>
      <c r="L19" s="240"/>
      <c r="M19" s="240"/>
      <c r="N19" s="240"/>
      <c r="O19" s="240"/>
      <c r="P19" s="247"/>
      <c r="Q19" s="240"/>
      <c r="R19" s="240"/>
    </row>
    <row r="20" spans="1:5" ht="12.75">
      <c r="A20" s="242"/>
      <c r="B20" s="242"/>
      <c r="C20" s="242"/>
      <c r="D20" s="242"/>
      <c r="E20" s="242"/>
    </row>
    <row r="21" spans="1:3" ht="12.75">
      <c r="A21" s="243" t="s">
        <v>7</v>
      </c>
      <c r="B21" s="244"/>
      <c r="C21" s="244"/>
    </row>
    <row r="22" spans="1:5" ht="12.75">
      <c r="A22" s="244" t="s">
        <v>8</v>
      </c>
      <c r="B22" s="293"/>
      <c r="C22" s="293"/>
      <c r="D22" s="293"/>
      <c r="E22" s="293"/>
    </row>
    <row r="23" spans="1:4" ht="12.75">
      <c r="A23" s="244" t="s">
        <v>9</v>
      </c>
      <c r="B23" s="293"/>
      <c r="C23" s="293"/>
      <c r="D23" s="293"/>
    </row>
    <row r="24" spans="1:3" ht="12.75">
      <c r="A24" s="244"/>
      <c r="B24" s="244"/>
      <c r="C24" s="244"/>
    </row>
    <row r="25" spans="1:18" s="226" customFormat="1" ht="12.75">
      <c r="A25" s="244" t="s">
        <v>11</v>
      </c>
      <c r="B25" s="237"/>
      <c r="C25" s="237"/>
      <c r="D25" s="237"/>
      <c r="E25" s="237"/>
      <c r="F25" s="237"/>
      <c r="G25" s="237"/>
      <c r="H25" s="244"/>
      <c r="I25" s="237"/>
      <c r="J25" s="244"/>
      <c r="K25" s="244"/>
      <c r="L25" s="244"/>
      <c r="M25" s="244"/>
      <c r="N25" s="991"/>
      <c r="O25" s="991"/>
      <c r="P25" s="991"/>
      <c r="Q25" s="991"/>
      <c r="R25" s="237"/>
    </row>
    <row r="26" spans="1:18" s="226" customFormat="1" ht="12.75" customHeight="1">
      <c r="A26" s="237"/>
      <c r="B26" s="237"/>
      <c r="C26" s="237"/>
      <c r="D26" s="237"/>
      <c r="E26" s="237"/>
      <c r="F26" s="237"/>
      <c r="G26" s="237"/>
      <c r="H26" s="237"/>
      <c r="I26" s="244"/>
      <c r="J26" s="237"/>
      <c r="K26" s="293"/>
      <c r="L26" s="293"/>
      <c r="M26" s="293"/>
      <c r="N26" s="992" t="s">
        <v>819</v>
      </c>
      <c r="O26" s="992"/>
      <c r="P26" s="992"/>
      <c r="Q26" s="992"/>
      <c r="R26" s="237"/>
    </row>
    <row r="27" spans="1:18" s="226" customFormat="1" ht="12.75" customHeight="1">
      <c r="A27" s="237"/>
      <c r="B27" s="237"/>
      <c r="C27" s="237"/>
      <c r="D27" s="237"/>
      <c r="E27" s="237"/>
      <c r="F27" s="237"/>
      <c r="G27" s="237"/>
      <c r="H27" s="237"/>
      <c r="I27" s="237"/>
      <c r="J27" s="293"/>
      <c r="K27" s="293"/>
      <c r="L27" s="293"/>
      <c r="M27" s="293"/>
      <c r="N27" s="992" t="s">
        <v>487</v>
      </c>
      <c r="O27" s="992"/>
      <c r="P27" s="992"/>
      <c r="Q27" s="992"/>
      <c r="R27" s="237"/>
    </row>
    <row r="28" spans="1:18" s="226" customFormat="1" ht="12.75">
      <c r="A28" s="244"/>
      <c r="B28" s="244"/>
      <c r="C28" s="237"/>
      <c r="D28" s="237"/>
      <c r="E28" s="237"/>
      <c r="F28" s="237"/>
      <c r="G28" s="237"/>
      <c r="H28" s="237"/>
      <c r="I28" s="237"/>
      <c r="J28" s="244"/>
      <c r="K28" s="244"/>
      <c r="L28" s="244"/>
      <c r="M28" s="244"/>
      <c r="N28" s="244"/>
      <c r="O28" s="414" t="s">
        <v>80</v>
      </c>
      <c r="P28" s="414"/>
      <c r="Q28" s="415"/>
      <c r="R28" s="237"/>
    </row>
    <row r="30" spans="1:16" ht="12.75">
      <c r="A30" s="990"/>
      <c r="B30" s="990"/>
      <c r="C30" s="990"/>
      <c r="D30" s="990"/>
      <c r="E30" s="990"/>
      <c r="F30" s="990"/>
      <c r="G30" s="990"/>
      <c r="H30" s="990"/>
      <c r="I30" s="990"/>
      <c r="J30" s="990"/>
      <c r="K30" s="990"/>
      <c r="L30" s="990"/>
      <c r="M30" s="990"/>
      <c r="N30" s="990"/>
      <c r="O30" s="990"/>
      <c r="P30" s="990"/>
    </row>
  </sheetData>
  <sheetProtection/>
  <mergeCells count="30">
    <mergeCell ref="A30:P30"/>
    <mergeCell ref="N25:Q25"/>
    <mergeCell ref="N26:Q26"/>
    <mergeCell ref="N27:Q27"/>
    <mergeCell ref="D17:F17"/>
    <mergeCell ref="G13:N15"/>
    <mergeCell ref="D11:F11"/>
    <mergeCell ref="D12:F12"/>
    <mergeCell ref="D13:F13"/>
    <mergeCell ref="D19:F19"/>
    <mergeCell ref="D15:F15"/>
    <mergeCell ref="D18:F18"/>
    <mergeCell ref="D14:F14"/>
    <mergeCell ref="D16:F16"/>
    <mergeCell ref="C8:C9"/>
    <mergeCell ref="A8:A9"/>
    <mergeCell ref="B8:B9"/>
    <mergeCell ref="D8:F9"/>
    <mergeCell ref="K8:P8"/>
    <mergeCell ref="D10:F10"/>
    <mergeCell ref="Q8:R8"/>
    <mergeCell ref="D1:G1"/>
    <mergeCell ref="O1:P1"/>
    <mergeCell ref="A2:P2"/>
    <mergeCell ref="A3:P3"/>
    <mergeCell ref="A5:P5"/>
    <mergeCell ref="G8:J8"/>
    <mergeCell ref="A6:P6"/>
    <mergeCell ref="A7:B7"/>
    <mergeCell ref="J7:P7"/>
  </mergeCells>
  <printOptions horizontalCentered="1"/>
  <pageMargins left="0.48" right="0.31" top="1.27" bottom="0" header="1.03"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Y45"/>
  <sheetViews>
    <sheetView view="pageBreakPreview" zoomScale="80" zoomScaleSheetLayoutView="80" zoomScalePageLayoutView="0" workbookViewId="0" topLeftCell="A1">
      <selection activeCell="G24" sqref="G24"/>
    </sheetView>
  </sheetViews>
  <sheetFormatPr defaultColWidth="9.140625" defaultRowHeight="12.75"/>
  <cols>
    <col min="1" max="1" width="7.28125" style="175" customWidth="1"/>
    <col min="2" max="2" width="27.421875" style="175" customWidth="1"/>
    <col min="3" max="6" width="10.421875" style="175" customWidth="1"/>
    <col min="7" max="7" width="13.57421875" style="175" customWidth="1"/>
    <col min="8" max="8" width="9.28125" style="175" bestFit="1" customWidth="1"/>
    <col min="9" max="9" width="8.00390625" style="175" bestFit="1" customWidth="1"/>
    <col min="10" max="10" width="9.28125" style="175" bestFit="1" customWidth="1"/>
    <col min="11" max="11" width="12.28125" style="175" bestFit="1" customWidth="1"/>
    <col min="12" max="14" width="6.8515625" style="175" customWidth="1"/>
    <col min="15" max="15" width="12.28125" style="175" bestFit="1" customWidth="1"/>
    <col min="16" max="16" width="9.28125" style="175" bestFit="1" customWidth="1"/>
    <col min="17" max="17" width="8.00390625" style="175" bestFit="1" customWidth="1"/>
    <col min="18" max="18" width="9.28125" style="175" bestFit="1" customWidth="1"/>
    <col min="19" max="19" width="12.28125" style="175" bestFit="1" customWidth="1"/>
    <col min="20" max="22" width="8.8515625" style="175" customWidth="1"/>
    <col min="23" max="23" width="13.57421875" style="175" customWidth="1"/>
    <col min="24" max="16384" width="9.140625" style="175" customWidth="1"/>
  </cols>
  <sheetData>
    <row r="1" ht="15">
      <c r="W1" s="176" t="s">
        <v>702</v>
      </c>
    </row>
    <row r="2" spans="1:23" ht="15.75">
      <c r="A2" s="732" t="s">
        <v>0</v>
      </c>
      <c r="B2" s="732"/>
      <c r="C2" s="732"/>
      <c r="D2" s="732"/>
      <c r="E2" s="732"/>
      <c r="F2" s="732"/>
      <c r="G2" s="732"/>
      <c r="H2" s="732"/>
      <c r="I2" s="732"/>
      <c r="J2" s="732"/>
      <c r="K2" s="732"/>
      <c r="L2" s="732"/>
      <c r="M2" s="732"/>
      <c r="N2" s="732"/>
      <c r="O2" s="732"/>
      <c r="P2" s="732"/>
      <c r="Q2" s="732"/>
      <c r="R2" s="732"/>
      <c r="S2" s="732"/>
      <c r="T2" s="732"/>
      <c r="U2" s="732"/>
      <c r="V2" s="732"/>
      <c r="W2" s="732"/>
    </row>
    <row r="3" spans="1:25" ht="20.25">
      <c r="A3" s="733" t="s">
        <v>854</v>
      </c>
      <c r="B3" s="733"/>
      <c r="C3" s="733"/>
      <c r="D3" s="733"/>
      <c r="E3" s="733"/>
      <c r="F3" s="733"/>
      <c r="G3" s="733"/>
      <c r="H3" s="733"/>
      <c r="I3" s="733"/>
      <c r="J3" s="733"/>
      <c r="K3" s="733"/>
      <c r="L3" s="733"/>
      <c r="M3" s="733"/>
      <c r="N3" s="733"/>
      <c r="O3" s="733"/>
      <c r="P3" s="733"/>
      <c r="Q3" s="733"/>
      <c r="R3" s="733"/>
      <c r="S3" s="733"/>
      <c r="T3" s="733"/>
      <c r="U3" s="733"/>
      <c r="V3" s="733"/>
      <c r="W3" s="733"/>
      <c r="X3" s="127"/>
      <c r="Y3" s="127"/>
    </row>
    <row r="4" spans="3:23" ht="18">
      <c r="C4" s="177"/>
      <c r="D4" s="177"/>
      <c r="E4" s="177"/>
      <c r="F4" s="177"/>
      <c r="G4" s="177"/>
      <c r="H4" s="177"/>
      <c r="I4" s="177"/>
      <c r="J4" s="177"/>
      <c r="K4" s="177"/>
      <c r="L4" s="177"/>
      <c r="M4" s="177"/>
      <c r="N4" s="177"/>
      <c r="O4" s="177"/>
      <c r="P4" s="177"/>
      <c r="Q4" s="177"/>
      <c r="R4" s="177"/>
      <c r="S4" s="177"/>
      <c r="T4" s="177"/>
      <c r="U4" s="177"/>
      <c r="V4" s="177"/>
      <c r="W4" s="177"/>
    </row>
    <row r="5" spans="1:23" ht="15.75">
      <c r="A5" s="734" t="s">
        <v>983</v>
      </c>
      <c r="B5" s="734"/>
      <c r="C5" s="734"/>
      <c r="D5" s="734"/>
      <c r="E5" s="734"/>
      <c r="F5" s="734"/>
      <c r="G5" s="734"/>
      <c r="H5" s="734"/>
      <c r="I5" s="734"/>
      <c r="J5" s="734"/>
      <c r="K5" s="734"/>
      <c r="L5" s="734"/>
      <c r="M5" s="734"/>
      <c r="N5" s="734"/>
      <c r="O5" s="734"/>
      <c r="P5" s="734"/>
      <c r="Q5" s="734"/>
      <c r="R5" s="734"/>
      <c r="S5" s="734"/>
      <c r="T5" s="734"/>
      <c r="U5" s="734"/>
      <c r="V5" s="734"/>
      <c r="W5" s="734"/>
    </row>
    <row r="6" spans="12:23" ht="15">
      <c r="L6" s="90"/>
      <c r="M6" s="90"/>
      <c r="N6" s="90"/>
      <c r="O6" s="90" t="s">
        <v>10</v>
      </c>
      <c r="P6" s="90"/>
      <c r="Q6" s="90"/>
      <c r="R6" s="90"/>
      <c r="S6" s="90"/>
      <c r="V6" s="735" t="s">
        <v>252</v>
      </c>
      <c r="W6" s="736"/>
    </row>
    <row r="7" spans="1:23" ht="12.75">
      <c r="A7" s="699" t="s">
        <v>475</v>
      </c>
      <c r="B7" s="699"/>
      <c r="P7" s="737" t="s">
        <v>933</v>
      </c>
      <c r="Q7" s="737"/>
      <c r="R7" s="737"/>
      <c r="S7" s="737"/>
      <c r="T7" s="737"/>
      <c r="U7" s="737"/>
      <c r="V7" s="737"/>
      <c r="W7" s="737"/>
    </row>
    <row r="8" spans="1:23" s="351" customFormat="1" ht="35.25" customHeight="1">
      <c r="A8" s="725" t="s">
        <v>2</v>
      </c>
      <c r="B8" s="725" t="s">
        <v>146</v>
      </c>
      <c r="C8" s="725" t="s">
        <v>147</v>
      </c>
      <c r="D8" s="725"/>
      <c r="E8" s="725"/>
      <c r="F8" s="725"/>
      <c r="G8" s="725" t="s">
        <v>148</v>
      </c>
      <c r="H8" s="725" t="s">
        <v>541</v>
      </c>
      <c r="I8" s="725"/>
      <c r="J8" s="725"/>
      <c r="K8" s="725"/>
      <c r="L8" s="725"/>
      <c r="M8" s="725"/>
      <c r="N8" s="725"/>
      <c r="O8" s="725"/>
      <c r="P8" s="725" t="s">
        <v>176</v>
      </c>
      <c r="Q8" s="725"/>
      <c r="R8" s="725"/>
      <c r="S8" s="725"/>
      <c r="T8" s="725"/>
      <c r="U8" s="725"/>
      <c r="V8" s="725"/>
      <c r="W8" s="725"/>
    </row>
    <row r="9" spans="1:23" s="351" customFormat="1" ht="15">
      <c r="A9" s="725"/>
      <c r="B9" s="725"/>
      <c r="C9" s="725" t="s">
        <v>253</v>
      </c>
      <c r="D9" s="725" t="s">
        <v>40</v>
      </c>
      <c r="E9" s="725" t="s">
        <v>41</v>
      </c>
      <c r="F9" s="725" t="s">
        <v>15</v>
      </c>
      <c r="G9" s="725"/>
      <c r="H9" s="725" t="s">
        <v>177</v>
      </c>
      <c r="I9" s="725"/>
      <c r="J9" s="725"/>
      <c r="K9" s="725"/>
      <c r="L9" s="725" t="s">
        <v>165</v>
      </c>
      <c r="M9" s="725"/>
      <c r="N9" s="725"/>
      <c r="O9" s="725"/>
      <c r="P9" s="725" t="s">
        <v>149</v>
      </c>
      <c r="Q9" s="725"/>
      <c r="R9" s="725"/>
      <c r="S9" s="725"/>
      <c r="T9" s="725" t="s">
        <v>164</v>
      </c>
      <c r="U9" s="725"/>
      <c r="V9" s="725"/>
      <c r="W9" s="725"/>
    </row>
    <row r="10" spans="1:23" s="351" customFormat="1" ht="15" customHeight="1">
      <c r="A10" s="725"/>
      <c r="B10" s="725"/>
      <c r="C10" s="725"/>
      <c r="D10" s="725"/>
      <c r="E10" s="725"/>
      <c r="F10" s="725"/>
      <c r="G10" s="725"/>
      <c r="H10" s="725" t="s">
        <v>150</v>
      </c>
      <c r="I10" s="725"/>
      <c r="J10" s="725"/>
      <c r="K10" s="725" t="s">
        <v>151</v>
      </c>
      <c r="L10" s="725" t="s">
        <v>150</v>
      </c>
      <c r="M10" s="725"/>
      <c r="N10" s="725"/>
      <c r="O10" s="725" t="s">
        <v>151</v>
      </c>
      <c r="P10" s="725" t="s">
        <v>150</v>
      </c>
      <c r="Q10" s="725"/>
      <c r="R10" s="725"/>
      <c r="S10" s="725" t="s">
        <v>151</v>
      </c>
      <c r="T10" s="725" t="s">
        <v>150</v>
      </c>
      <c r="U10" s="725"/>
      <c r="V10" s="725"/>
      <c r="W10" s="725" t="s">
        <v>151</v>
      </c>
    </row>
    <row r="11" spans="1:23" s="351" customFormat="1" ht="15" customHeight="1">
      <c r="A11" s="725"/>
      <c r="B11" s="725"/>
      <c r="C11" s="725"/>
      <c r="D11" s="725"/>
      <c r="E11" s="725"/>
      <c r="F11" s="725"/>
      <c r="G11" s="725"/>
      <c r="H11" s="725"/>
      <c r="I11" s="725"/>
      <c r="J11" s="725"/>
      <c r="K11" s="725"/>
      <c r="L11" s="725"/>
      <c r="M11" s="725"/>
      <c r="N11" s="725"/>
      <c r="O11" s="725"/>
      <c r="P11" s="725"/>
      <c r="Q11" s="725"/>
      <c r="R11" s="725"/>
      <c r="S11" s="725"/>
      <c r="T11" s="725"/>
      <c r="U11" s="725"/>
      <c r="V11" s="725"/>
      <c r="W11" s="725"/>
    </row>
    <row r="12" spans="1:23" s="351" customFormat="1" ht="15">
      <c r="A12" s="725"/>
      <c r="B12" s="725"/>
      <c r="C12" s="725"/>
      <c r="D12" s="725"/>
      <c r="E12" s="725"/>
      <c r="F12" s="725"/>
      <c r="G12" s="725"/>
      <c r="H12" s="179" t="s">
        <v>253</v>
      </c>
      <c r="I12" s="179" t="s">
        <v>40</v>
      </c>
      <c r="J12" s="180" t="s">
        <v>41</v>
      </c>
      <c r="K12" s="725"/>
      <c r="L12" s="179" t="s">
        <v>253</v>
      </c>
      <c r="M12" s="179" t="s">
        <v>40</v>
      </c>
      <c r="N12" s="179" t="s">
        <v>41</v>
      </c>
      <c r="O12" s="725"/>
      <c r="P12" s="179" t="s">
        <v>253</v>
      </c>
      <c r="Q12" s="179" t="s">
        <v>40</v>
      </c>
      <c r="R12" s="179" t="s">
        <v>41</v>
      </c>
      <c r="S12" s="725"/>
      <c r="T12" s="179" t="s">
        <v>253</v>
      </c>
      <c r="U12" s="179" t="s">
        <v>40</v>
      </c>
      <c r="V12" s="179" t="s">
        <v>41</v>
      </c>
      <c r="W12" s="725"/>
    </row>
    <row r="13" spans="1:23" ht="15">
      <c r="A13" s="178">
        <v>1</v>
      </c>
      <c r="B13" s="178">
        <v>2</v>
      </c>
      <c r="C13" s="178">
        <v>3</v>
      </c>
      <c r="D13" s="178">
        <v>4</v>
      </c>
      <c r="E13" s="178">
        <v>5</v>
      </c>
      <c r="F13" s="178">
        <v>6</v>
      </c>
      <c r="G13" s="178">
        <v>7</v>
      </c>
      <c r="H13" s="178">
        <v>8</v>
      </c>
      <c r="I13" s="178">
        <v>9</v>
      </c>
      <c r="J13" s="178">
        <v>10</v>
      </c>
      <c r="K13" s="178">
        <v>11</v>
      </c>
      <c r="L13" s="178">
        <v>12</v>
      </c>
      <c r="M13" s="178">
        <v>13</v>
      </c>
      <c r="N13" s="178">
        <v>14</v>
      </c>
      <c r="O13" s="178">
        <v>15</v>
      </c>
      <c r="P13" s="178">
        <v>16</v>
      </c>
      <c r="Q13" s="178">
        <v>17</v>
      </c>
      <c r="R13" s="178">
        <v>18</v>
      </c>
      <c r="S13" s="178">
        <v>19</v>
      </c>
      <c r="T13" s="178">
        <v>20</v>
      </c>
      <c r="U13" s="178">
        <v>21</v>
      </c>
      <c r="V13" s="178">
        <v>22</v>
      </c>
      <c r="W13" s="535">
        <v>23</v>
      </c>
    </row>
    <row r="14" spans="1:23" ht="15.75">
      <c r="A14" s="729" t="s">
        <v>208</v>
      </c>
      <c r="B14" s="729"/>
      <c r="C14" s="178"/>
      <c r="D14" s="178"/>
      <c r="E14" s="178"/>
      <c r="F14" s="178"/>
      <c r="G14" s="178"/>
      <c r="H14" s="178"/>
      <c r="I14" s="178"/>
      <c r="J14" s="178"/>
      <c r="K14" s="178"/>
      <c r="L14" s="178"/>
      <c r="M14" s="178"/>
      <c r="N14" s="178"/>
      <c r="O14" s="178"/>
      <c r="P14" s="178"/>
      <c r="Q14" s="178"/>
      <c r="R14" s="178"/>
      <c r="S14" s="178"/>
      <c r="T14" s="178"/>
      <c r="U14" s="178"/>
      <c r="V14" s="178"/>
      <c r="W14" s="178"/>
    </row>
    <row r="15" spans="1:23" ht="21.75" customHeight="1">
      <c r="A15" s="179">
        <v>1</v>
      </c>
      <c r="B15" s="376" t="s">
        <v>207</v>
      </c>
      <c r="C15" s="377">
        <v>633.0271999999999</v>
      </c>
      <c r="D15" s="377">
        <v>206.9512</v>
      </c>
      <c r="E15" s="377">
        <v>377.3816</v>
      </c>
      <c r="F15" s="377">
        <f>SUM(C15:E15)</f>
        <v>1217.36</v>
      </c>
      <c r="G15" s="511" t="s">
        <v>984</v>
      </c>
      <c r="H15" s="377">
        <v>633.0271999999999</v>
      </c>
      <c r="I15" s="377">
        <v>206.9512</v>
      </c>
      <c r="J15" s="377">
        <v>377.3816</v>
      </c>
      <c r="K15" s="511" t="s">
        <v>987</v>
      </c>
      <c r="L15" s="377">
        <v>4.7996</v>
      </c>
      <c r="M15" s="377">
        <v>1.5691000000000002</v>
      </c>
      <c r="N15" s="377">
        <v>2.8613</v>
      </c>
      <c r="O15" s="511" t="s">
        <v>990</v>
      </c>
      <c r="P15" s="377">
        <v>569.7848</v>
      </c>
      <c r="Q15" s="377">
        <v>186.2758</v>
      </c>
      <c r="R15" s="377">
        <v>339.6794</v>
      </c>
      <c r="S15" s="511" t="s">
        <v>990</v>
      </c>
      <c r="T15" s="377">
        <v>569.7848</v>
      </c>
      <c r="U15" s="377">
        <v>186.2758</v>
      </c>
      <c r="V15" s="377">
        <v>339.6794</v>
      </c>
      <c r="W15" s="511" t="s">
        <v>993</v>
      </c>
    </row>
    <row r="16" spans="1:23" ht="21.75" customHeight="1">
      <c r="A16" s="179">
        <v>2</v>
      </c>
      <c r="B16" s="376" t="s">
        <v>152</v>
      </c>
      <c r="C16" s="377">
        <v>943.2019999999999</v>
      </c>
      <c r="D16" s="377">
        <v>308.35450000000003</v>
      </c>
      <c r="E16" s="377">
        <v>562.2935</v>
      </c>
      <c r="F16" s="377">
        <f>SUM(C16:E16)</f>
        <v>1813.85</v>
      </c>
      <c r="G16" s="511" t="s">
        <v>985</v>
      </c>
      <c r="H16" s="377">
        <v>943.2019999999999</v>
      </c>
      <c r="I16" s="377">
        <v>308.35450000000003</v>
      </c>
      <c r="J16" s="377">
        <v>562.2935</v>
      </c>
      <c r="K16" s="511" t="s">
        <v>988</v>
      </c>
      <c r="L16" s="377">
        <v>4.8932</v>
      </c>
      <c r="M16" s="377">
        <v>1.5997000000000001</v>
      </c>
      <c r="N16" s="377">
        <v>2.9171</v>
      </c>
      <c r="O16" s="511" t="s">
        <v>991</v>
      </c>
      <c r="P16" s="377">
        <v>849.5136</v>
      </c>
      <c r="Q16" s="377">
        <v>277.72560000000004</v>
      </c>
      <c r="R16" s="377">
        <v>506.4408</v>
      </c>
      <c r="S16" s="511" t="s">
        <v>991</v>
      </c>
      <c r="T16" s="377">
        <v>849.5136</v>
      </c>
      <c r="U16" s="377">
        <v>277.72560000000004</v>
      </c>
      <c r="V16" s="377">
        <v>506.4408</v>
      </c>
      <c r="W16" s="511" t="s">
        <v>994</v>
      </c>
    </row>
    <row r="17" spans="1:23" ht="21.75" customHeight="1">
      <c r="A17" s="179">
        <v>3</v>
      </c>
      <c r="B17" s="376" t="s">
        <v>153</v>
      </c>
      <c r="C17" s="377">
        <v>1200.0664000000002</v>
      </c>
      <c r="D17" s="377">
        <v>392.3294000000001</v>
      </c>
      <c r="E17" s="377">
        <v>715.4242</v>
      </c>
      <c r="F17" s="377">
        <f>SUM(C17:E17)</f>
        <v>2307.82</v>
      </c>
      <c r="G17" s="511" t="s">
        <v>986</v>
      </c>
      <c r="H17" s="377">
        <v>1200.0664000000002</v>
      </c>
      <c r="I17" s="377">
        <v>392.3294000000001</v>
      </c>
      <c r="J17" s="377">
        <v>715.4242</v>
      </c>
      <c r="K17" s="511" t="s">
        <v>989</v>
      </c>
      <c r="L17" s="377">
        <v>4.2536</v>
      </c>
      <c r="M17" s="377">
        <v>1.3906</v>
      </c>
      <c r="N17" s="377">
        <v>2.5358</v>
      </c>
      <c r="O17" s="511" t="s">
        <v>992</v>
      </c>
      <c r="P17" s="377">
        <v>1097.6627999999998</v>
      </c>
      <c r="Q17" s="377">
        <v>358.8513</v>
      </c>
      <c r="R17" s="377">
        <v>654.3759</v>
      </c>
      <c r="S17" s="511" t="s">
        <v>992</v>
      </c>
      <c r="T17" s="377">
        <v>1097.6627999999998</v>
      </c>
      <c r="U17" s="377">
        <v>358.8513</v>
      </c>
      <c r="V17" s="377">
        <v>654.3759</v>
      </c>
      <c r="W17" s="511" t="s">
        <v>995</v>
      </c>
    </row>
    <row r="18" spans="1:23" s="370" customFormat="1" ht="21.75" customHeight="1">
      <c r="A18" s="725" t="s">
        <v>530</v>
      </c>
      <c r="B18" s="725"/>
      <c r="C18" s="379">
        <f>SUM(C15:C17)</f>
        <v>2776.2956</v>
      </c>
      <c r="D18" s="379">
        <f>SUM(D15:D17)</f>
        <v>907.6351000000001</v>
      </c>
      <c r="E18" s="379">
        <f>SUM(E15:E17)</f>
        <v>1655.0992999999999</v>
      </c>
      <c r="F18" s="379">
        <f>SUM(F15:F17)</f>
        <v>5339.030000000001</v>
      </c>
      <c r="G18" s="179"/>
      <c r="H18" s="379">
        <f>SUM(H15:H17)</f>
        <v>2776.2956</v>
      </c>
      <c r="I18" s="379">
        <f>SUM(I15:I17)</f>
        <v>907.6351000000001</v>
      </c>
      <c r="J18" s="379">
        <f>SUM(J15:J17)</f>
        <v>1655.0992999999999</v>
      </c>
      <c r="K18" s="379"/>
      <c r="L18" s="379">
        <f>L17+L16+L15</f>
        <v>13.946399999999999</v>
      </c>
      <c r="M18" s="379">
        <f>M17+M16+M15</f>
        <v>4.5594</v>
      </c>
      <c r="N18" s="379">
        <f>N17+N16+N15</f>
        <v>8.3142</v>
      </c>
      <c r="O18" s="379"/>
      <c r="P18" s="379">
        <f>SUM(P15:P17)</f>
        <v>2516.9611999999997</v>
      </c>
      <c r="Q18" s="379">
        <f>SUM(Q15:Q17)</f>
        <v>822.8527</v>
      </c>
      <c r="R18" s="379">
        <f>SUM(R15:R17)</f>
        <v>1500.4961</v>
      </c>
      <c r="S18" s="379"/>
      <c r="T18" s="379">
        <f>SUM(T15:T17)</f>
        <v>2516.9611999999997</v>
      </c>
      <c r="U18" s="379">
        <f>SUM(U15:U17)</f>
        <v>822.8527</v>
      </c>
      <c r="V18" s="379">
        <f>SUM(V15:V17)</f>
        <v>1500.4961</v>
      </c>
      <c r="W18" s="379"/>
    </row>
    <row r="19" spans="1:23" ht="21.75" customHeight="1">
      <c r="A19" s="724" t="s">
        <v>209</v>
      </c>
      <c r="B19" s="724"/>
      <c r="C19" s="380"/>
      <c r="D19" s="380"/>
      <c r="E19" s="380"/>
      <c r="F19" s="380"/>
      <c r="G19" s="378"/>
      <c r="H19" s="380"/>
      <c r="I19" s="380"/>
      <c r="J19" s="380"/>
      <c r="K19" s="378"/>
      <c r="L19" s="378"/>
      <c r="M19" s="378"/>
      <c r="N19" s="378"/>
      <c r="O19" s="378"/>
      <c r="P19" s="377"/>
      <c r="Q19" s="377"/>
      <c r="R19" s="377"/>
      <c r="S19" s="378"/>
      <c r="T19" s="377"/>
      <c r="U19" s="377"/>
      <c r="V19" s="373"/>
      <c r="W19" s="378"/>
    </row>
    <row r="20" spans="1:23" ht="21.75" customHeight="1">
      <c r="A20" s="179">
        <v>4</v>
      </c>
      <c r="B20" s="376" t="s">
        <v>198</v>
      </c>
      <c r="C20" s="377">
        <v>0</v>
      </c>
      <c r="D20" s="377">
        <v>0</v>
      </c>
      <c r="E20" s="377">
        <v>0</v>
      </c>
      <c r="F20" s="377">
        <f>SUM(C20:E20)</f>
        <v>0</v>
      </c>
      <c r="G20" s="378"/>
      <c r="H20" s="377">
        <v>0</v>
      </c>
      <c r="I20" s="377">
        <v>0</v>
      </c>
      <c r="J20" s="377">
        <v>0</v>
      </c>
      <c r="K20" s="377"/>
      <c r="L20" s="377">
        <v>0</v>
      </c>
      <c r="M20" s="377">
        <v>0</v>
      </c>
      <c r="N20" s="377">
        <v>0</v>
      </c>
      <c r="O20" s="380"/>
      <c r="P20" s="377">
        <v>0</v>
      </c>
      <c r="Q20" s="377">
        <v>0</v>
      </c>
      <c r="R20" s="377">
        <v>0</v>
      </c>
      <c r="S20" s="380"/>
      <c r="T20" s="377">
        <v>0</v>
      </c>
      <c r="U20" s="377">
        <v>0</v>
      </c>
      <c r="V20" s="377">
        <v>0</v>
      </c>
      <c r="W20" s="378"/>
    </row>
    <row r="21" spans="1:23" ht="21.75" customHeight="1">
      <c r="A21" s="179">
        <v>5</v>
      </c>
      <c r="B21" s="376" t="s">
        <v>130</v>
      </c>
      <c r="C21" s="377">
        <v>0</v>
      </c>
      <c r="D21" s="377">
        <v>0</v>
      </c>
      <c r="E21" s="377">
        <v>0</v>
      </c>
      <c r="F21" s="377">
        <f>SUM(C21:E21)</f>
        <v>0</v>
      </c>
      <c r="G21" s="511"/>
      <c r="H21" s="377">
        <v>0</v>
      </c>
      <c r="I21" s="377">
        <v>0</v>
      </c>
      <c r="J21" s="377">
        <v>0</v>
      </c>
      <c r="K21" s="534"/>
      <c r="L21" s="377">
        <v>0</v>
      </c>
      <c r="M21" s="377">
        <v>0</v>
      </c>
      <c r="N21" s="377">
        <v>0</v>
      </c>
      <c r="O21" s="380"/>
      <c r="P21" s="377">
        <v>0</v>
      </c>
      <c r="Q21" s="377">
        <v>0</v>
      </c>
      <c r="R21" s="377">
        <v>0</v>
      </c>
      <c r="S21" s="380"/>
      <c r="T21" s="377">
        <v>0</v>
      </c>
      <c r="U21" s="377">
        <v>0</v>
      </c>
      <c r="V21" s="377">
        <v>0</v>
      </c>
      <c r="W21" s="378"/>
    </row>
    <row r="22" spans="1:23" ht="21.75" customHeight="1">
      <c r="A22" s="179">
        <v>6</v>
      </c>
      <c r="B22" s="376" t="s">
        <v>931</v>
      </c>
      <c r="C22" s="377">
        <v>170.38320000000002</v>
      </c>
      <c r="D22" s="377">
        <v>55.702200000000005</v>
      </c>
      <c r="E22" s="377">
        <v>101.5746</v>
      </c>
      <c r="F22" s="377">
        <f>SUM(C22:E22)</f>
        <v>327.66</v>
      </c>
      <c r="G22" s="511" t="s">
        <v>1032</v>
      </c>
      <c r="H22" s="377">
        <v>0</v>
      </c>
      <c r="I22" s="377">
        <v>0</v>
      </c>
      <c r="J22" s="377">
        <v>0</v>
      </c>
      <c r="K22" s="534"/>
      <c r="L22" s="377">
        <v>0</v>
      </c>
      <c r="M22" s="377">
        <v>0</v>
      </c>
      <c r="N22" s="377">
        <v>0</v>
      </c>
      <c r="O22" s="380"/>
      <c r="P22" s="377">
        <v>0</v>
      </c>
      <c r="Q22" s="377">
        <v>0</v>
      </c>
      <c r="R22" s="377">
        <v>0</v>
      </c>
      <c r="S22" s="380"/>
      <c r="T22" s="377">
        <v>0</v>
      </c>
      <c r="U22" s="377">
        <v>0</v>
      </c>
      <c r="V22" s="377">
        <v>0</v>
      </c>
      <c r="W22" s="511"/>
    </row>
    <row r="23" spans="1:23" s="370" customFormat="1" ht="21.75" customHeight="1">
      <c r="A23" s="725" t="s">
        <v>531</v>
      </c>
      <c r="B23" s="725"/>
      <c r="C23" s="379">
        <f>SUM(C20:C22)</f>
        <v>170.38320000000002</v>
      </c>
      <c r="D23" s="379">
        <f>SUM(D20:D22)</f>
        <v>55.702200000000005</v>
      </c>
      <c r="E23" s="379">
        <f>SUM(E20:E22)</f>
        <v>101.5746</v>
      </c>
      <c r="F23" s="379">
        <f>SUM(F20:F22)</f>
        <v>327.66</v>
      </c>
      <c r="G23" s="179"/>
      <c r="H23" s="379">
        <f>SUM(H20:H22)</f>
        <v>0</v>
      </c>
      <c r="I23" s="379">
        <f>SUM(I20:I22)</f>
        <v>0</v>
      </c>
      <c r="J23" s="379">
        <f>SUM(J20:J22)</f>
        <v>0</v>
      </c>
      <c r="K23" s="179"/>
      <c r="L23" s="379">
        <f>SUM(L20:L22)</f>
        <v>0</v>
      </c>
      <c r="M23" s="379">
        <f>SUM(M20:M22)</f>
        <v>0</v>
      </c>
      <c r="N23" s="379">
        <f>SUM(N20:N22)</f>
        <v>0</v>
      </c>
      <c r="O23" s="381"/>
      <c r="P23" s="379">
        <f>SUM(P20:P22)</f>
        <v>0</v>
      </c>
      <c r="Q23" s="379">
        <f>SUM(Q20:Q22)</f>
        <v>0</v>
      </c>
      <c r="R23" s="379">
        <f>SUM(R20:R22)</f>
        <v>0</v>
      </c>
      <c r="S23" s="179"/>
      <c r="T23" s="379">
        <f>SUM(T20:T22)</f>
        <v>0</v>
      </c>
      <c r="U23" s="379">
        <f>SUM(U20:U22)</f>
        <v>0</v>
      </c>
      <c r="V23" s="379">
        <f>SUM(V20:V22)</f>
        <v>0</v>
      </c>
      <c r="W23" s="179"/>
    </row>
    <row r="24" spans="1:23" s="372" customFormat="1" ht="21.75" customHeight="1">
      <c r="A24" s="731" t="s">
        <v>33</v>
      </c>
      <c r="B24" s="731"/>
      <c r="C24" s="374">
        <f>C23+C18</f>
        <v>2946.6788</v>
      </c>
      <c r="D24" s="374">
        <f>D23+D18</f>
        <v>963.3373000000001</v>
      </c>
      <c r="E24" s="374">
        <f>E23+E18</f>
        <v>1756.6738999999998</v>
      </c>
      <c r="F24" s="374">
        <f>F23+F18</f>
        <v>5666.6900000000005</v>
      </c>
      <c r="G24" s="371" t="s">
        <v>10</v>
      </c>
      <c r="H24" s="374">
        <f>H18+H23</f>
        <v>2776.2956</v>
      </c>
      <c r="I24" s="374">
        <f>I18+I23</f>
        <v>907.6351000000001</v>
      </c>
      <c r="J24" s="374">
        <f>J18+J23</f>
        <v>1655.0992999999999</v>
      </c>
      <c r="K24" s="371"/>
      <c r="L24" s="374">
        <f>L18+L23</f>
        <v>13.946399999999999</v>
      </c>
      <c r="M24" s="374">
        <f>M18+M23</f>
        <v>4.5594</v>
      </c>
      <c r="N24" s="374">
        <f>N18+N23</f>
        <v>8.3142</v>
      </c>
      <c r="O24" s="375"/>
      <c r="P24" s="374">
        <f>P18+P23</f>
        <v>2516.9611999999997</v>
      </c>
      <c r="Q24" s="374">
        <f>Q18+Q23</f>
        <v>822.8527</v>
      </c>
      <c r="R24" s="374">
        <f>R18+R23</f>
        <v>1500.4961</v>
      </c>
      <c r="S24" s="371"/>
      <c r="T24" s="374">
        <f>T23+T18</f>
        <v>2516.9611999999997</v>
      </c>
      <c r="U24" s="374">
        <f>U23+U18</f>
        <v>822.8527</v>
      </c>
      <c r="V24" s="374">
        <f>V23+V18</f>
        <v>1500.4961</v>
      </c>
      <c r="W24" s="371"/>
    </row>
    <row r="25" ht="12.75">
      <c r="K25" s="175" t="s">
        <v>10</v>
      </c>
    </row>
    <row r="26" spans="1:23" ht="14.25">
      <c r="A26" s="730" t="s">
        <v>166</v>
      </c>
      <c r="B26" s="730"/>
      <c r="C26" s="730"/>
      <c r="D26" s="730"/>
      <c r="E26" s="730"/>
      <c r="F26" s="730"/>
      <c r="G26" s="730"/>
      <c r="H26" s="730"/>
      <c r="I26" s="730"/>
      <c r="J26" s="730"/>
      <c r="K26" s="730"/>
      <c r="L26" s="730"/>
      <c r="M26" s="730"/>
      <c r="N26" s="730"/>
      <c r="O26" s="730"/>
      <c r="P26" s="730"/>
      <c r="Q26" s="730"/>
      <c r="R26" s="730"/>
      <c r="S26" s="730"/>
      <c r="T26" s="730"/>
      <c r="U26" s="730"/>
      <c r="V26" s="730"/>
      <c r="W26" s="730"/>
    </row>
    <row r="27" spans="1:23" s="612" customFormat="1" ht="15">
      <c r="A27" s="613" t="s">
        <v>1048</v>
      </c>
      <c r="B27" s="608" t="s">
        <v>662</v>
      </c>
      <c r="C27" s="608"/>
      <c r="D27" s="608"/>
      <c r="E27" s="608"/>
      <c r="F27" s="608"/>
      <c r="G27" s="608"/>
      <c r="H27" s="608"/>
      <c r="I27" s="608"/>
      <c r="J27" s="608"/>
      <c r="K27" s="608"/>
      <c r="L27" s="608"/>
      <c r="M27" s="608"/>
      <c r="N27" s="608"/>
      <c r="O27" s="608"/>
      <c r="P27" s="608"/>
      <c r="Q27" s="608"/>
      <c r="R27" s="608"/>
      <c r="S27" s="608"/>
      <c r="T27" s="608"/>
      <c r="U27" s="608"/>
      <c r="V27" s="608"/>
      <c r="W27" s="611" t="s">
        <v>10</v>
      </c>
    </row>
    <row r="28" spans="1:22" ht="12.75">
      <c r="A28" s="21" t="s">
        <v>1049</v>
      </c>
      <c r="B28" s="728" t="s">
        <v>1051</v>
      </c>
      <c r="C28" s="728"/>
      <c r="D28" s="728"/>
      <c r="E28" s="728"/>
      <c r="F28" s="728"/>
      <c r="G28" s="728"/>
      <c r="H28" s="728"/>
      <c r="I28" s="728"/>
      <c r="J28" s="728"/>
      <c r="K28" s="728"/>
      <c r="L28" s="728"/>
      <c r="M28" s="728"/>
      <c r="N28" s="728"/>
      <c r="O28" s="728"/>
      <c r="P28" s="728"/>
      <c r="Q28" s="728"/>
      <c r="R28" s="728"/>
      <c r="S28" s="728"/>
      <c r="T28" s="728"/>
      <c r="U28" s="728"/>
      <c r="V28" s="728"/>
    </row>
    <row r="29" spans="1:22" ht="12.75">
      <c r="A29" s="16"/>
      <c r="B29" s="728" t="s">
        <v>1050</v>
      </c>
      <c r="C29" s="728"/>
      <c r="D29" s="728"/>
      <c r="E29" s="728"/>
      <c r="F29" s="728"/>
      <c r="G29" s="728"/>
      <c r="H29" s="728"/>
      <c r="I29" s="728"/>
      <c r="J29" s="728"/>
      <c r="K29" s="728"/>
      <c r="L29" s="728"/>
      <c r="M29" s="728"/>
      <c r="N29" s="728"/>
      <c r="O29" s="728"/>
      <c r="P29" s="728" t="s">
        <v>10</v>
      </c>
      <c r="Q29" s="728" t="s">
        <v>10</v>
      </c>
      <c r="R29" s="728" t="s">
        <v>10</v>
      </c>
      <c r="S29" s="728"/>
      <c r="T29" s="728"/>
      <c r="U29" s="728"/>
      <c r="V29" s="728"/>
    </row>
    <row r="30" spans="2:22" ht="12.75">
      <c r="B30" s="263"/>
      <c r="C30" s="263"/>
      <c r="D30" s="263"/>
      <c r="E30" s="263"/>
      <c r="F30" s="263"/>
      <c r="G30" s="263"/>
      <c r="H30" s="263"/>
      <c r="I30" s="263"/>
      <c r="J30" s="263"/>
      <c r="K30" s="263"/>
      <c r="L30" s="263"/>
      <c r="M30" s="263"/>
      <c r="N30" s="263"/>
      <c r="O30" s="263"/>
      <c r="P30" s="263"/>
      <c r="Q30" s="263"/>
      <c r="R30" s="263"/>
      <c r="S30" s="263"/>
      <c r="T30" s="263"/>
      <c r="U30" s="263"/>
      <c r="V30" s="263"/>
    </row>
    <row r="31" spans="2:22" ht="12.75">
      <c r="B31" s="263"/>
      <c r="C31" s="263"/>
      <c r="D31" s="263"/>
      <c r="E31" s="263"/>
      <c r="F31" s="263"/>
      <c r="G31" s="263"/>
      <c r="H31" s="263"/>
      <c r="I31" s="263"/>
      <c r="J31" s="263"/>
      <c r="K31" s="263"/>
      <c r="L31" s="263"/>
      <c r="M31" s="263"/>
      <c r="N31" s="263"/>
      <c r="O31" s="263"/>
      <c r="P31" s="263"/>
      <c r="Q31" s="263"/>
      <c r="R31" s="263"/>
      <c r="S31" s="263"/>
      <c r="T31" s="263"/>
      <c r="U31" s="263"/>
      <c r="V31" s="263"/>
    </row>
    <row r="32" spans="2:22" ht="12.75">
      <c r="B32" s="263"/>
      <c r="C32" s="263"/>
      <c r="D32" s="263"/>
      <c r="E32" s="263"/>
      <c r="F32" s="263"/>
      <c r="G32" s="263"/>
      <c r="H32" s="263"/>
      <c r="I32" s="263"/>
      <c r="J32" s="263"/>
      <c r="K32" s="263"/>
      <c r="L32" s="263"/>
      <c r="M32" s="263"/>
      <c r="N32" s="263"/>
      <c r="O32" s="263"/>
      <c r="P32" s="263"/>
      <c r="Q32" s="263"/>
      <c r="R32" s="263"/>
      <c r="S32" s="263"/>
      <c r="T32" s="263"/>
      <c r="U32" s="263"/>
      <c r="V32" s="263"/>
    </row>
    <row r="33" spans="2:23" ht="15.75" customHeight="1">
      <c r="B33" s="131"/>
      <c r="C33" s="131"/>
      <c r="D33" s="131"/>
      <c r="E33" s="131"/>
      <c r="F33" s="131"/>
      <c r="G33" s="131"/>
      <c r="H33" s="131"/>
      <c r="I33" s="131"/>
      <c r="J33" s="131"/>
      <c r="K33" s="131"/>
      <c r="L33" s="131"/>
      <c r="M33" s="131"/>
      <c r="N33" s="131"/>
      <c r="O33" s="131"/>
      <c r="P33" s="131"/>
      <c r="Q33" s="131"/>
      <c r="R33" s="131"/>
      <c r="S33" s="727" t="s">
        <v>819</v>
      </c>
      <c r="T33" s="727"/>
      <c r="U33" s="727"/>
      <c r="V33" s="727"/>
      <c r="W33" s="727"/>
    </row>
    <row r="34" spans="1:23" ht="15.75" customHeight="1">
      <c r="A34" s="383" t="s">
        <v>18</v>
      </c>
      <c r="B34" s="131"/>
      <c r="C34" s="131"/>
      <c r="D34" s="131"/>
      <c r="E34" s="131"/>
      <c r="F34" s="131"/>
      <c r="G34" s="131"/>
      <c r="H34" s="131"/>
      <c r="I34" s="131" t="s">
        <v>10</v>
      </c>
      <c r="J34" s="131"/>
      <c r="K34" s="131"/>
      <c r="L34" s="131"/>
      <c r="M34" s="131"/>
      <c r="N34" s="131"/>
      <c r="O34" s="131"/>
      <c r="P34" s="131"/>
      <c r="Q34" s="131"/>
      <c r="R34" s="131"/>
      <c r="S34" s="727" t="s">
        <v>488</v>
      </c>
      <c r="T34" s="727"/>
      <c r="U34" s="727"/>
      <c r="V34" s="727"/>
      <c r="W34" s="727"/>
    </row>
    <row r="35" spans="1:21" ht="12.75">
      <c r="A35" s="89"/>
      <c r="B35" s="89"/>
      <c r="C35" s="89"/>
      <c r="D35" s="89"/>
      <c r="E35" s="89"/>
      <c r="F35" s="89"/>
      <c r="G35" s="89"/>
      <c r="H35" s="89"/>
      <c r="I35" s="89"/>
      <c r="J35" s="89"/>
      <c r="K35" s="89"/>
      <c r="L35" s="89"/>
      <c r="M35" s="89"/>
      <c r="N35" s="89"/>
      <c r="S35" s="726" t="s">
        <v>80</v>
      </c>
      <c r="T35" s="726"/>
      <c r="U35" s="726"/>
    </row>
    <row r="37" spans="8:12" ht="14.25">
      <c r="H37" s="388"/>
      <c r="I37" s="389"/>
      <c r="J37" s="388"/>
      <c r="K37" s="388"/>
      <c r="L37" s="388"/>
    </row>
    <row r="38" spans="8:12" ht="14.25">
      <c r="H38" s="388"/>
      <c r="I38" s="389"/>
      <c r="J38" s="388"/>
      <c r="K38" s="388"/>
      <c r="L38" s="388"/>
    </row>
    <row r="39" spans="8:12" ht="14.25">
      <c r="H39" s="388"/>
      <c r="I39" s="389"/>
      <c r="J39" s="388"/>
      <c r="K39" s="388"/>
      <c r="L39" s="388"/>
    </row>
    <row r="40" spans="8:12" ht="12.75">
      <c r="H40" s="388"/>
      <c r="I40" s="388"/>
      <c r="J40" s="388"/>
      <c r="K40" s="388"/>
      <c r="L40" s="388"/>
    </row>
    <row r="41" spans="8:12" ht="12.75">
      <c r="H41" s="388"/>
      <c r="I41" s="388"/>
      <c r="J41" s="388"/>
      <c r="K41" s="388"/>
      <c r="L41" s="388"/>
    </row>
    <row r="42" spans="8:12" ht="12.75">
      <c r="H42" s="388"/>
      <c r="I42" s="388"/>
      <c r="J42" s="388"/>
      <c r="K42" s="388"/>
      <c r="L42" s="388"/>
    </row>
    <row r="43" spans="8:12" ht="12.75">
      <c r="H43" s="388"/>
      <c r="I43" s="388"/>
      <c r="J43" s="388"/>
      <c r="K43" s="388"/>
      <c r="L43" s="388"/>
    </row>
    <row r="44" spans="8:12" ht="12.75">
      <c r="H44" s="388"/>
      <c r="I44" s="388"/>
      <c r="J44" s="390"/>
      <c r="K44" s="388"/>
      <c r="L44" s="388"/>
    </row>
    <row r="45" spans="8:12" ht="12.75">
      <c r="H45" s="388"/>
      <c r="I45" s="388"/>
      <c r="J45" s="388"/>
      <c r="K45" s="388"/>
      <c r="L45" s="388"/>
    </row>
  </sheetData>
  <sheetProtection/>
  <mergeCells count="39">
    <mergeCell ref="P9:S9"/>
    <mergeCell ref="P10:R11"/>
    <mergeCell ref="P7:W7"/>
    <mergeCell ref="P8:W8"/>
    <mergeCell ref="H8:O8"/>
    <mergeCell ref="H9:K9"/>
    <mergeCell ref="K10:K12"/>
    <mergeCell ref="L10:N11"/>
    <mergeCell ref="L9:O9"/>
    <mergeCell ref="A2:W2"/>
    <mergeCell ref="A3:W3"/>
    <mergeCell ref="A5:W5"/>
    <mergeCell ref="C8:F8"/>
    <mergeCell ref="F9:F12"/>
    <mergeCell ref="V6:W6"/>
    <mergeCell ref="A7:B7"/>
    <mergeCell ref="C9:C12"/>
    <mergeCell ref="D9:D12"/>
    <mergeCell ref="T9:W9"/>
    <mergeCell ref="A18:B18"/>
    <mergeCell ref="A23:B23"/>
    <mergeCell ref="A14:B14"/>
    <mergeCell ref="A26:W26"/>
    <mergeCell ref="W10:W12"/>
    <mergeCell ref="A24:B24"/>
    <mergeCell ref="A8:A12"/>
    <mergeCell ref="B8:B12"/>
    <mergeCell ref="G8:G12"/>
    <mergeCell ref="E9:E12"/>
    <mergeCell ref="A19:B19"/>
    <mergeCell ref="T10:V11"/>
    <mergeCell ref="H10:J11"/>
    <mergeCell ref="S35:U35"/>
    <mergeCell ref="S10:S12"/>
    <mergeCell ref="O10:O12"/>
    <mergeCell ref="S34:W34"/>
    <mergeCell ref="B28:V28"/>
    <mergeCell ref="B29:V29"/>
    <mergeCell ref="S33:W33"/>
  </mergeCells>
  <printOptions horizontalCentered="1"/>
  <pageMargins left="0.7086614173228347" right="0.21" top="1.45" bottom="0" header="0.93" footer="0.31496062992125984"/>
  <pageSetup fitToHeight="1" fitToWidth="1" horizontalDpi="600" verticalDpi="600" orientation="landscape" paperSize="9" scale="58" r:id="rId1"/>
  <colBreaks count="1" manualBreakCount="1">
    <brk id="23"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R30"/>
  <sheetViews>
    <sheetView view="pageBreakPreview" zoomScaleSheetLayoutView="100" zoomScalePageLayoutView="0" workbookViewId="0" topLeftCell="A1">
      <selection activeCell="G13" sqref="G13:N15"/>
    </sheetView>
  </sheetViews>
  <sheetFormatPr defaultColWidth="9.140625" defaultRowHeight="12.75"/>
  <cols>
    <col min="1" max="1" width="5.57421875" style="237" customWidth="1"/>
    <col min="2" max="2" width="11.00390625" style="237" customWidth="1"/>
    <col min="3" max="3" width="13.28125" style="237" customWidth="1"/>
    <col min="4" max="4" width="10.8515625" style="237" customWidth="1"/>
    <col min="5" max="5" width="1.1484375" style="237" customWidth="1"/>
    <col min="6" max="6" width="0.2890625" style="237" hidden="1" customWidth="1"/>
    <col min="7" max="7" width="8.7109375" style="237" customWidth="1"/>
    <col min="8" max="9" width="8.00390625" style="237" customWidth="1"/>
    <col min="10" max="12" width="8.140625" style="237" customWidth="1"/>
    <col min="13" max="13" width="10.140625" style="237" customWidth="1"/>
    <col min="14" max="14" width="11.421875" style="237" customWidth="1"/>
    <col min="15" max="15" width="10.140625" style="237" customWidth="1"/>
    <col min="16" max="16" width="11.28125" style="237" customWidth="1"/>
    <col min="17" max="18" width="14.140625" style="237" customWidth="1"/>
    <col min="19" max="16384" width="9.140625" style="237" customWidth="1"/>
  </cols>
  <sheetData>
    <row r="1" spans="4:16" ht="15">
      <c r="D1" s="983"/>
      <c r="E1" s="983"/>
      <c r="F1" s="983"/>
      <c r="G1" s="983"/>
      <c r="O1" s="980" t="s">
        <v>741</v>
      </c>
      <c r="P1" s="980"/>
    </row>
    <row r="2" spans="1:16" ht="15.75">
      <c r="A2" s="982" t="s">
        <v>0</v>
      </c>
      <c r="B2" s="982"/>
      <c r="C2" s="982"/>
      <c r="D2" s="982"/>
      <c r="E2" s="982"/>
      <c r="F2" s="982"/>
      <c r="G2" s="982"/>
      <c r="H2" s="982"/>
      <c r="I2" s="982"/>
      <c r="J2" s="982"/>
      <c r="K2" s="982"/>
      <c r="L2" s="982"/>
      <c r="M2" s="982"/>
      <c r="N2" s="982"/>
      <c r="O2" s="982"/>
      <c r="P2" s="982"/>
    </row>
    <row r="3" spans="1:16" ht="20.25">
      <c r="A3" s="995" t="s">
        <v>854</v>
      </c>
      <c r="B3" s="995"/>
      <c r="C3" s="995"/>
      <c r="D3" s="995"/>
      <c r="E3" s="995"/>
      <c r="F3" s="995"/>
      <c r="G3" s="995"/>
      <c r="H3" s="995"/>
      <c r="I3" s="995"/>
      <c r="J3" s="995"/>
      <c r="K3" s="995"/>
      <c r="L3" s="995"/>
      <c r="M3" s="995"/>
      <c r="N3" s="995"/>
      <c r="O3" s="995"/>
      <c r="P3" s="995"/>
    </row>
    <row r="5" spans="1:16" s="249" customFormat="1" ht="15">
      <c r="A5" s="1017" t="s">
        <v>970</v>
      </c>
      <c r="B5" s="1017"/>
      <c r="C5" s="1017"/>
      <c r="D5" s="1017"/>
      <c r="E5" s="1017"/>
      <c r="F5" s="1017"/>
      <c r="G5" s="1017"/>
      <c r="H5" s="1017"/>
      <c r="I5" s="1017"/>
      <c r="J5" s="1017"/>
      <c r="K5" s="1017"/>
      <c r="L5" s="1017"/>
      <c r="M5" s="1017"/>
      <c r="N5" s="1017"/>
      <c r="O5" s="1017"/>
      <c r="P5" s="1017"/>
    </row>
    <row r="6" spans="1:16" ht="12.75">
      <c r="A6" s="990"/>
      <c r="B6" s="990"/>
      <c r="C6" s="990"/>
      <c r="D6" s="990"/>
      <c r="E6" s="990"/>
      <c r="F6" s="990"/>
      <c r="G6" s="990"/>
      <c r="H6" s="990"/>
      <c r="I6" s="990"/>
      <c r="J6" s="990"/>
      <c r="K6" s="990"/>
      <c r="L6" s="990"/>
      <c r="M6" s="990"/>
      <c r="N6" s="990"/>
      <c r="O6" s="990"/>
      <c r="P6" s="990"/>
    </row>
    <row r="7" spans="1:16" ht="12.75">
      <c r="A7" s="699" t="s">
        <v>475</v>
      </c>
      <c r="B7" s="699"/>
      <c r="D7" s="246"/>
      <c r="E7" s="246"/>
      <c r="J7" s="988"/>
      <c r="K7" s="988"/>
      <c r="L7" s="988"/>
      <c r="M7" s="988"/>
      <c r="N7" s="988"/>
      <c r="O7" s="988"/>
      <c r="P7" s="988"/>
    </row>
    <row r="8" spans="1:18" ht="30.75" customHeight="1">
      <c r="A8" s="987" t="s">
        <v>503</v>
      </c>
      <c r="B8" s="987" t="s">
        <v>3</v>
      </c>
      <c r="C8" s="996" t="s">
        <v>681</v>
      </c>
      <c r="D8" s="993" t="s">
        <v>81</v>
      </c>
      <c r="E8" s="998"/>
      <c r="F8" s="999"/>
      <c r="G8" s="984" t="s">
        <v>797</v>
      </c>
      <c r="H8" s="985"/>
      <c r="I8" s="985"/>
      <c r="J8" s="986"/>
      <c r="K8" s="984" t="s">
        <v>789</v>
      </c>
      <c r="L8" s="985"/>
      <c r="M8" s="985"/>
      <c r="N8" s="985"/>
      <c r="O8" s="985"/>
      <c r="P8" s="985"/>
      <c r="Q8" s="987" t="s">
        <v>976</v>
      </c>
      <c r="R8" s="987"/>
    </row>
    <row r="9" spans="1:18" ht="44.25" customHeight="1">
      <c r="A9" s="987"/>
      <c r="B9" s="987"/>
      <c r="C9" s="997"/>
      <c r="D9" s="994"/>
      <c r="E9" s="1000"/>
      <c r="F9" s="1001"/>
      <c r="G9" s="444" t="s">
        <v>178</v>
      </c>
      <c r="H9" s="444" t="s">
        <v>110</v>
      </c>
      <c r="I9" s="444" t="s">
        <v>111</v>
      </c>
      <c r="J9" s="444" t="s">
        <v>442</v>
      </c>
      <c r="K9" s="525" t="s">
        <v>15</v>
      </c>
      <c r="L9" s="525" t="s">
        <v>790</v>
      </c>
      <c r="M9" s="525" t="s">
        <v>791</v>
      </c>
      <c r="N9" s="525" t="s">
        <v>792</v>
      </c>
      <c r="O9" s="525" t="s">
        <v>793</v>
      </c>
      <c r="P9" s="525" t="s">
        <v>794</v>
      </c>
      <c r="Q9" s="554" t="s">
        <v>977</v>
      </c>
      <c r="R9" s="554" t="s">
        <v>978</v>
      </c>
    </row>
    <row r="10" spans="1:18" s="244" customFormat="1" ht="12.75">
      <c r="A10" s="239">
        <v>1</v>
      </c>
      <c r="B10" s="239">
        <v>2</v>
      </c>
      <c r="C10" s="239">
        <v>3</v>
      </c>
      <c r="D10" s="1002">
        <v>4</v>
      </c>
      <c r="E10" s="1003"/>
      <c r="F10" s="1004"/>
      <c r="G10" s="239">
        <v>5</v>
      </c>
      <c r="H10" s="239">
        <v>6</v>
      </c>
      <c r="I10" s="239">
        <v>7</v>
      </c>
      <c r="J10" s="239">
        <v>8</v>
      </c>
      <c r="K10" s="525">
        <v>9</v>
      </c>
      <c r="L10" s="525">
        <v>10</v>
      </c>
      <c r="M10" s="525">
        <v>11</v>
      </c>
      <c r="N10" s="525">
        <v>12</v>
      </c>
      <c r="O10" s="525">
        <v>13</v>
      </c>
      <c r="P10" s="525">
        <v>14</v>
      </c>
      <c r="Q10" s="554">
        <v>15</v>
      </c>
      <c r="R10" s="554">
        <v>16</v>
      </c>
    </row>
    <row r="11" spans="1:18" ht="12.75">
      <c r="A11" s="8">
        <v>1</v>
      </c>
      <c r="B11" s="19" t="s">
        <v>476</v>
      </c>
      <c r="C11" s="240"/>
      <c r="D11" s="1005"/>
      <c r="E11" s="1006"/>
      <c r="F11" s="1007"/>
      <c r="G11" s="240"/>
      <c r="H11" s="240"/>
      <c r="I11" s="240"/>
      <c r="J11" s="240"/>
      <c r="K11" s="240"/>
      <c r="L11" s="240"/>
      <c r="M11" s="240"/>
      <c r="N11" s="240"/>
      <c r="O11" s="240"/>
      <c r="P11" s="247"/>
      <c r="Q11" s="240"/>
      <c r="R11" s="240"/>
    </row>
    <row r="12" spans="1:18" ht="12.75">
      <c r="A12" s="8">
        <v>2</v>
      </c>
      <c r="B12" s="19" t="s">
        <v>477</v>
      </c>
      <c r="C12" s="240"/>
      <c r="D12" s="1005"/>
      <c r="E12" s="1006"/>
      <c r="F12" s="1007"/>
      <c r="G12" s="240"/>
      <c r="H12" s="240"/>
      <c r="I12" s="240"/>
      <c r="J12" s="240"/>
      <c r="K12" s="240"/>
      <c r="L12" s="240"/>
      <c r="M12" s="240"/>
      <c r="N12" s="240"/>
      <c r="O12" s="240"/>
      <c r="P12" s="247"/>
      <c r="Q12" s="240"/>
      <c r="R12" s="240"/>
    </row>
    <row r="13" spans="1:18" ht="12.75">
      <c r="A13" s="8">
        <v>3</v>
      </c>
      <c r="B13" s="19" t="s">
        <v>478</v>
      </c>
      <c r="C13" s="240"/>
      <c r="D13" s="1005"/>
      <c r="E13" s="1006"/>
      <c r="F13" s="1007"/>
      <c r="G13" s="1008" t="s">
        <v>510</v>
      </c>
      <c r="H13" s="1009"/>
      <c r="I13" s="1009"/>
      <c r="J13" s="1009"/>
      <c r="K13" s="1009"/>
      <c r="L13" s="1009"/>
      <c r="M13" s="1009"/>
      <c r="N13" s="1010"/>
      <c r="O13" s="240"/>
      <c r="P13" s="247"/>
      <c r="Q13" s="240"/>
      <c r="R13" s="240"/>
    </row>
    <row r="14" spans="1:18" ht="15.75" customHeight="1">
      <c r="A14" s="8">
        <v>4</v>
      </c>
      <c r="B14" s="19" t="s">
        <v>479</v>
      </c>
      <c r="C14" s="240"/>
      <c r="D14" s="1005"/>
      <c r="E14" s="1006"/>
      <c r="F14" s="1007"/>
      <c r="G14" s="1011"/>
      <c r="H14" s="1012"/>
      <c r="I14" s="1012"/>
      <c r="J14" s="1012"/>
      <c r="K14" s="1012"/>
      <c r="L14" s="1012"/>
      <c r="M14" s="1012"/>
      <c r="N14" s="1013"/>
      <c r="O14" s="240"/>
      <c r="P14" s="247"/>
      <c r="Q14" s="240"/>
      <c r="R14" s="240"/>
    </row>
    <row r="15" spans="1:18" ht="12.75">
      <c r="A15" s="8">
        <v>5</v>
      </c>
      <c r="B15" s="19" t="s">
        <v>480</v>
      </c>
      <c r="C15" s="240"/>
      <c r="D15" s="1005"/>
      <c r="E15" s="1006"/>
      <c r="F15" s="1007"/>
      <c r="G15" s="1014"/>
      <c r="H15" s="1015"/>
      <c r="I15" s="1015"/>
      <c r="J15" s="1015"/>
      <c r="K15" s="1015"/>
      <c r="L15" s="1015"/>
      <c r="M15" s="1015"/>
      <c r="N15" s="1016"/>
      <c r="O15" s="240"/>
      <c r="P15" s="247"/>
      <c r="Q15" s="240"/>
      <c r="R15" s="240"/>
    </row>
    <row r="16" spans="1:18" ht="12.75">
      <c r="A16" s="8">
        <v>6</v>
      </c>
      <c r="B16" s="19" t="s">
        <v>481</v>
      </c>
      <c r="C16" s="240"/>
      <c r="D16" s="1005"/>
      <c r="E16" s="1006"/>
      <c r="F16" s="1007"/>
      <c r="G16" s="240"/>
      <c r="H16" s="240"/>
      <c r="I16" s="240"/>
      <c r="J16" s="240"/>
      <c r="K16" s="240"/>
      <c r="L16" s="240"/>
      <c r="M16" s="240"/>
      <c r="N16" s="240"/>
      <c r="O16" s="240"/>
      <c r="P16" s="247"/>
      <c r="Q16" s="240"/>
      <c r="R16" s="240"/>
    </row>
    <row r="17" spans="1:18" ht="12.75">
      <c r="A17" s="8">
        <v>7</v>
      </c>
      <c r="B17" s="19" t="s">
        <v>482</v>
      </c>
      <c r="C17" s="240"/>
      <c r="D17" s="1005"/>
      <c r="E17" s="1006"/>
      <c r="F17" s="1007"/>
      <c r="G17" s="240"/>
      <c r="H17" s="240"/>
      <c r="I17" s="240"/>
      <c r="J17" s="240"/>
      <c r="K17" s="240"/>
      <c r="L17" s="240"/>
      <c r="M17" s="240"/>
      <c r="N17" s="240"/>
      <c r="O17" s="240"/>
      <c r="P17" s="247"/>
      <c r="Q17" s="240"/>
      <c r="R17" s="240"/>
    </row>
    <row r="18" spans="1:18" ht="12.75">
      <c r="A18" s="8">
        <v>8</v>
      </c>
      <c r="B18" s="19" t="s">
        <v>483</v>
      </c>
      <c r="C18" s="240"/>
      <c r="D18" s="1005"/>
      <c r="E18" s="1006"/>
      <c r="F18" s="1007"/>
      <c r="G18" s="240"/>
      <c r="H18" s="240"/>
      <c r="I18" s="240"/>
      <c r="J18" s="240"/>
      <c r="K18" s="240"/>
      <c r="L18" s="240"/>
      <c r="M18" s="240"/>
      <c r="N18" s="240"/>
      <c r="O18" s="240"/>
      <c r="P18" s="247"/>
      <c r="Q18" s="240"/>
      <c r="R18" s="240"/>
    </row>
    <row r="19" spans="1:18" ht="12.75">
      <c r="A19" s="3"/>
      <c r="B19" s="27" t="s">
        <v>484</v>
      </c>
      <c r="C19" s="240"/>
      <c r="D19" s="1005"/>
      <c r="E19" s="1006"/>
      <c r="F19" s="1007"/>
      <c r="G19" s="240"/>
      <c r="H19" s="240"/>
      <c r="I19" s="240"/>
      <c r="J19" s="240"/>
      <c r="K19" s="240"/>
      <c r="L19" s="240"/>
      <c r="M19" s="240"/>
      <c r="N19" s="240"/>
      <c r="O19" s="240"/>
      <c r="P19" s="247"/>
      <c r="Q19" s="240"/>
      <c r="R19" s="240"/>
    </row>
    <row r="20" spans="1:5" ht="12.75">
      <c r="A20" s="242"/>
      <c r="B20" s="242"/>
      <c r="C20" s="242"/>
      <c r="D20" s="242"/>
      <c r="E20" s="242"/>
    </row>
    <row r="21" spans="1:18" s="226" customFormat="1" ht="12.75">
      <c r="A21" s="243" t="s">
        <v>7</v>
      </c>
      <c r="B21" s="477"/>
      <c r="C21" s="477"/>
      <c r="D21" s="242"/>
      <c r="E21" s="237"/>
      <c r="F21" s="237"/>
      <c r="G21" s="237"/>
      <c r="H21" s="237"/>
      <c r="I21" s="237"/>
      <c r="J21" s="237"/>
      <c r="K21" s="237"/>
      <c r="L21" s="237"/>
      <c r="M21" s="237"/>
      <c r="N21" s="237"/>
      <c r="O21" s="237"/>
      <c r="P21" s="237"/>
      <c r="Q21" s="237"/>
      <c r="R21" s="237"/>
    </row>
    <row r="22" spans="1:18" s="226" customFormat="1" ht="12.75">
      <c r="A22" s="244" t="s">
        <v>8</v>
      </c>
      <c r="B22" s="244"/>
      <c r="C22" s="244"/>
      <c r="D22" s="237"/>
      <c r="E22" s="237"/>
      <c r="F22" s="237"/>
      <c r="G22" s="237"/>
      <c r="H22" s="237"/>
      <c r="I22" s="237"/>
      <c r="J22" s="237"/>
      <c r="K22" s="237"/>
      <c r="L22" s="237"/>
      <c r="M22" s="237"/>
      <c r="N22" s="237"/>
      <c r="O22" s="237"/>
      <c r="P22" s="237"/>
      <c r="Q22" s="237"/>
      <c r="R22" s="237"/>
    </row>
    <row r="23" spans="1:18" s="226" customFormat="1" ht="12.75">
      <c r="A23" s="244" t="s">
        <v>9</v>
      </c>
      <c r="B23" s="244"/>
      <c r="C23" s="244"/>
      <c r="D23" s="237"/>
      <c r="E23" s="237"/>
      <c r="F23" s="237"/>
      <c r="G23" s="237"/>
      <c r="H23" s="237"/>
      <c r="I23" s="237"/>
      <c r="J23" s="237"/>
      <c r="K23" s="237"/>
      <c r="L23" s="237"/>
      <c r="M23" s="237"/>
      <c r="N23" s="237"/>
      <c r="O23" s="237"/>
      <c r="P23" s="237"/>
      <c r="Q23" s="237"/>
      <c r="R23" s="237"/>
    </row>
    <row r="24" spans="1:3" ht="12.75">
      <c r="A24" s="244"/>
      <c r="B24" s="244"/>
      <c r="C24" s="244"/>
    </row>
    <row r="25" spans="1:18" s="226" customFormat="1" ht="12.75">
      <c r="A25" s="244" t="s">
        <v>11</v>
      </c>
      <c r="B25" s="237"/>
      <c r="C25" s="237"/>
      <c r="D25" s="237"/>
      <c r="E25" s="237"/>
      <c r="F25" s="237"/>
      <c r="G25" s="237"/>
      <c r="H25" s="244"/>
      <c r="I25" s="237"/>
      <c r="J25" s="244"/>
      <c r="K25" s="244"/>
      <c r="L25" s="244"/>
      <c r="M25" s="244"/>
      <c r="N25" s="991"/>
      <c r="O25" s="991"/>
      <c r="P25" s="991"/>
      <c r="Q25" s="991"/>
      <c r="R25" s="237"/>
    </row>
    <row r="26" spans="1:18" s="226" customFormat="1" ht="12.75" customHeight="1">
      <c r="A26" s="237"/>
      <c r="B26" s="237"/>
      <c r="C26" s="237"/>
      <c r="D26" s="237"/>
      <c r="E26" s="237"/>
      <c r="F26" s="237"/>
      <c r="G26" s="237"/>
      <c r="H26" s="237"/>
      <c r="I26" s="244"/>
      <c r="J26" s="237"/>
      <c r="K26" s="293"/>
      <c r="L26" s="293"/>
      <c r="M26" s="293"/>
      <c r="N26" s="992" t="s">
        <v>819</v>
      </c>
      <c r="O26" s="992"/>
      <c r="P26" s="992"/>
      <c r="Q26" s="992"/>
      <c r="R26" s="237"/>
    </row>
    <row r="27" spans="1:18" s="226" customFormat="1" ht="12.75" customHeight="1">
      <c r="A27" s="237"/>
      <c r="B27" s="237"/>
      <c r="C27" s="237"/>
      <c r="D27" s="237"/>
      <c r="E27" s="237"/>
      <c r="F27" s="237"/>
      <c r="G27" s="237"/>
      <c r="H27" s="237"/>
      <c r="I27" s="237"/>
      <c r="J27" s="293"/>
      <c r="K27" s="293"/>
      <c r="L27" s="293"/>
      <c r="M27" s="293"/>
      <c r="N27" s="992" t="s">
        <v>487</v>
      </c>
      <c r="O27" s="992"/>
      <c r="P27" s="992"/>
      <c r="Q27" s="992"/>
      <c r="R27" s="237"/>
    </row>
    <row r="28" spans="1:18" s="226" customFormat="1" ht="12.75">
      <c r="A28" s="244"/>
      <c r="B28" s="244"/>
      <c r="C28" s="237"/>
      <c r="D28" s="237"/>
      <c r="E28" s="237"/>
      <c r="F28" s="237"/>
      <c r="G28" s="237"/>
      <c r="H28" s="237"/>
      <c r="I28" s="237"/>
      <c r="J28" s="244"/>
      <c r="K28" s="244"/>
      <c r="L28" s="244"/>
      <c r="M28" s="244"/>
      <c r="N28" s="244"/>
      <c r="O28" s="414" t="s">
        <v>80</v>
      </c>
      <c r="P28" s="414"/>
      <c r="Q28" s="415"/>
      <c r="R28" s="237"/>
    </row>
    <row r="30" spans="1:16" ht="12.75">
      <c r="A30" s="990"/>
      <c r="B30" s="990"/>
      <c r="C30" s="990"/>
      <c r="D30" s="990"/>
      <c r="E30" s="990"/>
      <c r="F30" s="990"/>
      <c r="G30" s="990"/>
      <c r="H30" s="990"/>
      <c r="I30" s="990"/>
      <c r="J30" s="990"/>
      <c r="K30" s="990"/>
      <c r="L30" s="990"/>
      <c r="M30" s="990"/>
      <c r="N30" s="990"/>
      <c r="O30" s="990"/>
      <c r="P30" s="990"/>
    </row>
  </sheetData>
  <sheetProtection/>
  <mergeCells count="30">
    <mergeCell ref="A30:P30"/>
    <mergeCell ref="D16:F16"/>
    <mergeCell ref="D17:F17"/>
    <mergeCell ref="D18:F18"/>
    <mergeCell ref="D19:F19"/>
    <mergeCell ref="N25:Q25"/>
    <mergeCell ref="N26:Q26"/>
    <mergeCell ref="N27:Q27"/>
    <mergeCell ref="D13:F13"/>
    <mergeCell ref="D14:F14"/>
    <mergeCell ref="D15:F15"/>
    <mergeCell ref="D10:F10"/>
    <mergeCell ref="D11:F11"/>
    <mergeCell ref="G13:N15"/>
    <mergeCell ref="D8:F9"/>
    <mergeCell ref="G8:J8"/>
    <mergeCell ref="A6:P6"/>
    <mergeCell ref="A7:B7"/>
    <mergeCell ref="K8:P8"/>
    <mergeCell ref="D12:F12"/>
    <mergeCell ref="Q8:R8"/>
    <mergeCell ref="D1:G1"/>
    <mergeCell ref="O1:P1"/>
    <mergeCell ref="A2:P2"/>
    <mergeCell ref="A3:P3"/>
    <mergeCell ref="A5:P5"/>
    <mergeCell ref="J7:P7"/>
    <mergeCell ref="A8:A9"/>
    <mergeCell ref="B8:B9"/>
    <mergeCell ref="C8:C9"/>
  </mergeCells>
  <printOptions horizontalCentered="1"/>
  <pageMargins left="0.45" right="0.18" top="0.91" bottom="0" header="0.67" footer="0.31496062992125984"/>
  <pageSetup fitToHeight="1" fitToWidth="1" horizontalDpi="600" verticalDpi="600" orientation="landscape" paperSize="9" scale="88" r:id="rId1"/>
</worksheet>
</file>

<file path=xl/worksheets/sheet61.xml><?xml version="1.0" encoding="utf-8"?>
<worksheet xmlns="http://schemas.openxmlformats.org/spreadsheetml/2006/main" xmlns:r="http://schemas.openxmlformats.org/officeDocument/2006/relationships">
  <sheetPr>
    <pageSetUpPr fitToPage="1"/>
  </sheetPr>
  <dimension ref="A1:R30"/>
  <sheetViews>
    <sheetView view="pageBreakPreview" zoomScaleSheetLayoutView="100" zoomScalePageLayoutView="0" workbookViewId="0" topLeftCell="A1">
      <selection activeCell="G13" sqref="G13:N15"/>
    </sheetView>
  </sheetViews>
  <sheetFormatPr defaultColWidth="9.140625" defaultRowHeight="12.75"/>
  <cols>
    <col min="1" max="1" width="6.57421875" style="237" customWidth="1"/>
    <col min="2" max="2" width="12.00390625" style="237" customWidth="1"/>
    <col min="3" max="3" width="17.28125" style="237" customWidth="1"/>
    <col min="4" max="4" width="10.8515625" style="237" customWidth="1"/>
    <col min="5" max="5" width="2.28125" style="237" customWidth="1"/>
    <col min="6" max="6" width="0.2890625" style="237" hidden="1" customWidth="1"/>
    <col min="7" max="7" width="8.7109375" style="237" customWidth="1"/>
    <col min="8" max="9" width="8.00390625" style="237" customWidth="1"/>
    <col min="10" max="10" width="8.140625" style="237" customWidth="1"/>
    <col min="11" max="11" width="9.28125" style="237" customWidth="1"/>
    <col min="12" max="12" width="10.00390625" style="237" customWidth="1"/>
    <col min="13" max="13" width="10.140625" style="237" customWidth="1"/>
    <col min="14" max="14" width="11.421875" style="237" customWidth="1"/>
    <col min="15" max="15" width="10.8515625" style="237" customWidth="1"/>
    <col min="16" max="16" width="11.421875" style="237" customWidth="1"/>
    <col min="17" max="17" width="13.8515625" style="237" customWidth="1"/>
    <col min="18" max="18" width="15.8515625" style="237" customWidth="1"/>
    <col min="19" max="16384" width="9.140625" style="237" customWidth="1"/>
  </cols>
  <sheetData>
    <row r="1" spans="4:16" ht="15">
      <c r="D1" s="983"/>
      <c r="E1" s="983"/>
      <c r="F1" s="983"/>
      <c r="G1" s="983"/>
      <c r="O1" s="980" t="s">
        <v>742</v>
      </c>
      <c r="P1" s="980"/>
    </row>
    <row r="2" spans="1:16" ht="15.75">
      <c r="A2" s="982" t="s">
        <v>0</v>
      </c>
      <c r="B2" s="982"/>
      <c r="C2" s="982"/>
      <c r="D2" s="982"/>
      <c r="E2" s="982"/>
      <c r="F2" s="982"/>
      <c r="G2" s="982"/>
      <c r="H2" s="982"/>
      <c r="I2" s="982"/>
      <c r="J2" s="982"/>
      <c r="K2" s="982"/>
      <c r="L2" s="982"/>
      <c r="M2" s="982"/>
      <c r="N2" s="982"/>
      <c r="O2" s="982"/>
      <c r="P2" s="982"/>
    </row>
    <row r="3" spans="1:16" ht="20.25">
      <c r="A3" s="995" t="s">
        <v>854</v>
      </c>
      <c r="B3" s="995"/>
      <c r="C3" s="995"/>
      <c r="D3" s="995"/>
      <c r="E3" s="995"/>
      <c r="F3" s="995"/>
      <c r="G3" s="995"/>
      <c r="H3" s="995"/>
      <c r="I3" s="995"/>
      <c r="J3" s="995"/>
      <c r="K3" s="995"/>
      <c r="L3" s="995"/>
      <c r="M3" s="995"/>
      <c r="N3" s="995"/>
      <c r="O3" s="995"/>
      <c r="P3" s="995"/>
    </row>
    <row r="5" spans="1:16" s="249" customFormat="1" ht="15">
      <c r="A5" s="1017" t="s">
        <v>971</v>
      </c>
      <c r="B5" s="1017"/>
      <c r="C5" s="1017"/>
      <c r="D5" s="1017"/>
      <c r="E5" s="1017"/>
      <c r="F5" s="1017"/>
      <c r="G5" s="1017"/>
      <c r="H5" s="1017"/>
      <c r="I5" s="1017"/>
      <c r="J5" s="1017"/>
      <c r="K5" s="1017"/>
      <c r="L5" s="1017"/>
      <c r="M5" s="1017"/>
      <c r="N5" s="1017"/>
      <c r="O5" s="1017"/>
      <c r="P5" s="1017"/>
    </row>
    <row r="6" spans="1:16" ht="12.75">
      <c r="A6" s="990"/>
      <c r="B6" s="990"/>
      <c r="C6" s="990"/>
      <c r="D6" s="990"/>
      <c r="E6" s="990"/>
      <c r="F6" s="990"/>
      <c r="G6" s="990"/>
      <c r="H6" s="990"/>
      <c r="I6" s="990"/>
      <c r="J6" s="990"/>
      <c r="K6" s="990"/>
      <c r="L6" s="990"/>
      <c r="M6" s="990"/>
      <c r="N6" s="990"/>
      <c r="O6" s="990"/>
      <c r="P6" s="990"/>
    </row>
    <row r="7" spans="1:16" ht="12.75">
      <c r="A7" s="699" t="s">
        <v>475</v>
      </c>
      <c r="B7" s="699"/>
      <c r="D7" s="246"/>
      <c r="E7" s="246"/>
      <c r="J7" s="988"/>
      <c r="K7" s="988"/>
      <c r="L7" s="988"/>
      <c r="M7" s="988"/>
      <c r="N7" s="988"/>
      <c r="O7" s="988"/>
      <c r="P7" s="988"/>
    </row>
    <row r="8" spans="1:18" s="398" customFormat="1" ht="30.75" customHeight="1">
      <c r="A8" s="987" t="s">
        <v>2</v>
      </c>
      <c r="B8" s="987" t="s">
        <v>3</v>
      </c>
      <c r="C8" s="996" t="s">
        <v>681</v>
      </c>
      <c r="D8" s="993" t="s">
        <v>81</v>
      </c>
      <c r="E8" s="998"/>
      <c r="F8" s="999"/>
      <c r="G8" s="984" t="s">
        <v>797</v>
      </c>
      <c r="H8" s="985"/>
      <c r="I8" s="985"/>
      <c r="J8" s="986"/>
      <c r="K8" s="984" t="s">
        <v>789</v>
      </c>
      <c r="L8" s="985"/>
      <c r="M8" s="985"/>
      <c r="N8" s="985"/>
      <c r="O8" s="985"/>
      <c r="P8" s="985"/>
      <c r="Q8" s="987" t="s">
        <v>976</v>
      </c>
      <c r="R8" s="987"/>
    </row>
    <row r="9" spans="1:18" s="398" customFormat="1" ht="44.25" customHeight="1">
      <c r="A9" s="987"/>
      <c r="B9" s="987"/>
      <c r="C9" s="997"/>
      <c r="D9" s="994"/>
      <c r="E9" s="1000"/>
      <c r="F9" s="1001"/>
      <c r="G9" s="525" t="s">
        <v>178</v>
      </c>
      <c r="H9" s="525" t="s">
        <v>110</v>
      </c>
      <c r="I9" s="525" t="s">
        <v>111</v>
      </c>
      <c r="J9" s="525" t="s">
        <v>442</v>
      </c>
      <c r="K9" s="525" t="s">
        <v>15</v>
      </c>
      <c r="L9" s="525" t="s">
        <v>790</v>
      </c>
      <c r="M9" s="525" t="s">
        <v>791</v>
      </c>
      <c r="N9" s="525" t="s">
        <v>792</v>
      </c>
      <c r="O9" s="525" t="s">
        <v>793</v>
      </c>
      <c r="P9" s="525" t="s">
        <v>794</v>
      </c>
      <c r="Q9" s="554" t="s">
        <v>977</v>
      </c>
      <c r="R9" s="554" t="s">
        <v>978</v>
      </c>
    </row>
    <row r="10" spans="1:18" s="244" customFormat="1" ht="12.75">
      <c r="A10" s="239">
        <v>1</v>
      </c>
      <c r="B10" s="239">
        <v>2</v>
      </c>
      <c r="C10" s="239">
        <v>3</v>
      </c>
      <c r="D10" s="1002">
        <v>4</v>
      </c>
      <c r="E10" s="1003"/>
      <c r="F10" s="1004"/>
      <c r="G10" s="239">
        <v>5</v>
      </c>
      <c r="H10" s="239">
        <v>6</v>
      </c>
      <c r="I10" s="239">
        <v>7</v>
      </c>
      <c r="J10" s="239">
        <v>8</v>
      </c>
      <c r="K10" s="525">
        <v>9</v>
      </c>
      <c r="L10" s="525">
        <v>10</v>
      </c>
      <c r="M10" s="525">
        <v>11</v>
      </c>
      <c r="N10" s="525">
        <v>12</v>
      </c>
      <c r="O10" s="525">
        <v>13</v>
      </c>
      <c r="P10" s="525">
        <v>14</v>
      </c>
      <c r="Q10" s="554">
        <v>15</v>
      </c>
      <c r="R10" s="554">
        <v>16</v>
      </c>
    </row>
    <row r="11" spans="1:18" ht="12.75">
      <c r="A11" s="8">
        <v>1</v>
      </c>
      <c r="B11" s="19" t="s">
        <v>476</v>
      </c>
      <c r="C11" s="240"/>
      <c r="D11" s="1005"/>
      <c r="E11" s="1006"/>
      <c r="F11" s="1007"/>
      <c r="G11" s="240"/>
      <c r="H11" s="240"/>
      <c r="I11" s="240"/>
      <c r="J11" s="240"/>
      <c r="K11" s="240"/>
      <c r="L11" s="240"/>
      <c r="M11" s="240"/>
      <c r="N11" s="240"/>
      <c r="O11" s="240"/>
      <c r="P11" s="247"/>
      <c r="Q11" s="240"/>
      <c r="R11" s="240"/>
    </row>
    <row r="12" spans="1:18" ht="12.75">
      <c r="A12" s="8">
        <v>2</v>
      </c>
      <c r="B12" s="19" t="s">
        <v>477</v>
      </c>
      <c r="C12" s="240"/>
      <c r="D12" s="1005"/>
      <c r="E12" s="1006"/>
      <c r="F12" s="1007"/>
      <c r="G12" s="240"/>
      <c r="H12" s="240"/>
      <c r="I12" s="240"/>
      <c r="J12" s="240"/>
      <c r="K12" s="240"/>
      <c r="L12" s="240"/>
      <c r="M12" s="240"/>
      <c r="N12" s="240"/>
      <c r="O12" s="240"/>
      <c r="P12" s="247"/>
      <c r="Q12" s="240"/>
      <c r="R12" s="240"/>
    </row>
    <row r="13" spans="1:18" ht="12.75">
      <c r="A13" s="8">
        <v>3</v>
      </c>
      <c r="B13" s="19" t="s">
        <v>478</v>
      </c>
      <c r="C13" s="240"/>
      <c r="D13" s="1005"/>
      <c r="E13" s="1006"/>
      <c r="F13" s="1007"/>
      <c r="G13" s="1008" t="s">
        <v>510</v>
      </c>
      <c r="H13" s="1009"/>
      <c r="I13" s="1009"/>
      <c r="J13" s="1009"/>
      <c r="K13" s="1009"/>
      <c r="L13" s="1009"/>
      <c r="M13" s="1009"/>
      <c r="N13" s="1010"/>
      <c r="O13" s="240"/>
      <c r="P13" s="247"/>
      <c r="Q13" s="240"/>
      <c r="R13" s="240"/>
    </row>
    <row r="14" spans="1:18" ht="12.75">
      <c r="A14" s="8">
        <v>4</v>
      </c>
      <c r="B14" s="19" t="s">
        <v>479</v>
      </c>
      <c r="C14" s="240"/>
      <c r="D14" s="1005"/>
      <c r="E14" s="1006"/>
      <c r="F14" s="1007"/>
      <c r="G14" s="1011"/>
      <c r="H14" s="1012"/>
      <c r="I14" s="1012"/>
      <c r="J14" s="1012"/>
      <c r="K14" s="1012"/>
      <c r="L14" s="1012"/>
      <c r="M14" s="1012"/>
      <c r="N14" s="1013"/>
      <c r="O14" s="240"/>
      <c r="P14" s="247"/>
      <c r="Q14" s="240"/>
      <c r="R14" s="240"/>
    </row>
    <row r="15" spans="1:18" ht="12.75">
      <c r="A15" s="8">
        <v>5</v>
      </c>
      <c r="B15" s="19" t="s">
        <v>480</v>
      </c>
      <c r="C15" s="240"/>
      <c r="D15" s="1005"/>
      <c r="E15" s="1006"/>
      <c r="F15" s="1007"/>
      <c r="G15" s="1014"/>
      <c r="H15" s="1015"/>
      <c r="I15" s="1015"/>
      <c r="J15" s="1015"/>
      <c r="K15" s="1015"/>
      <c r="L15" s="1015"/>
      <c r="M15" s="1015"/>
      <c r="N15" s="1016"/>
      <c r="O15" s="240"/>
      <c r="P15" s="247"/>
      <c r="Q15" s="240"/>
      <c r="R15" s="240"/>
    </row>
    <row r="16" spans="1:18" ht="12.75">
      <c r="A16" s="8">
        <v>6</v>
      </c>
      <c r="B16" s="19" t="s">
        <v>481</v>
      </c>
      <c r="C16" s="240"/>
      <c r="D16" s="1005"/>
      <c r="E16" s="1006"/>
      <c r="F16" s="1007"/>
      <c r="G16" s="240"/>
      <c r="H16" s="240"/>
      <c r="I16" s="240"/>
      <c r="J16" s="240"/>
      <c r="K16" s="240"/>
      <c r="L16" s="240"/>
      <c r="M16" s="240"/>
      <c r="N16" s="240"/>
      <c r="O16" s="240"/>
      <c r="P16" s="247"/>
      <c r="Q16" s="240"/>
      <c r="R16" s="240"/>
    </row>
    <row r="17" spans="1:18" ht="12.75">
      <c r="A17" s="8">
        <v>7</v>
      </c>
      <c r="B17" s="19" t="s">
        <v>482</v>
      </c>
      <c r="C17" s="240"/>
      <c r="D17" s="1005"/>
      <c r="E17" s="1006"/>
      <c r="F17" s="1007"/>
      <c r="G17" s="240"/>
      <c r="H17" s="240"/>
      <c r="I17" s="240"/>
      <c r="J17" s="240"/>
      <c r="K17" s="240"/>
      <c r="L17" s="240"/>
      <c r="M17" s="240"/>
      <c r="N17" s="240"/>
      <c r="O17" s="240"/>
      <c r="P17" s="247"/>
      <c r="Q17" s="240"/>
      <c r="R17" s="240"/>
    </row>
    <row r="18" spans="1:18" ht="12.75">
      <c r="A18" s="8">
        <v>8</v>
      </c>
      <c r="B18" s="19" t="s">
        <v>483</v>
      </c>
      <c r="C18" s="240"/>
      <c r="D18" s="1005"/>
      <c r="E18" s="1006"/>
      <c r="F18" s="1007"/>
      <c r="G18" s="240"/>
      <c r="H18" s="240"/>
      <c r="I18" s="240"/>
      <c r="J18" s="240"/>
      <c r="K18" s="240"/>
      <c r="L18" s="240"/>
      <c r="M18" s="240"/>
      <c r="N18" s="240"/>
      <c r="O18" s="240"/>
      <c r="P18" s="247"/>
      <c r="Q18" s="240"/>
      <c r="R18" s="240"/>
    </row>
    <row r="19" spans="1:18" ht="12.75">
      <c r="A19" s="3"/>
      <c r="B19" s="27" t="s">
        <v>484</v>
      </c>
      <c r="C19" s="240"/>
      <c r="D19" s="1005"/>
      <c r="E19" s="1006"/>
      <c r="F19" s="1007"/>
      <c r="G19" s="240"/>
      <c r="H19" s="240"/>
      <c r="I19" s="240"/>
      <c r="J19" s="240"/>
      <c r="K19" s="240"/>
      <c r="L19" s="240"/>
      <c r="M19" s="240"/>
      <c r="N19" s="240"/>
      <c r="O19" s="240"/>
      <c r="P19" s="247"/>
      <c r="Q19" s="240"/>
      <c r="R19" s="240"/>
    </row>
    <row r="20" spans="1:5" ht="12.75">
      <c r="A20" s="242"/>
      <c r="B20" s="242"/>
      <c r="C20" s="242"/>
      <c r="D20" s="242"/>
      <c r="E20" s="242"/>
    </row>
    <row r="21" spans="1:18" s="226" customFormat="1" ht="12.75">
      <c r="A21" s="243" t="s">
        <v>7</v>
      </c>
      <c r="B21" s="477"/>
      <c r="C21" s="477"/>
      <c r="D21" s="242"/>
      <c r="E21" s="237"/>
      <c r="F21" s="237"/>
      <c r="G21" s="237"/>
      <c r="H21" s="237"/>
      <c r="I21" s="237"/>
      <c r="J21" s="237"/>
      <c r="K21" s="237"/>
      <c r="L21" s="237"/>
      <c r="M21" s="237"/>
      <c r="N21" s="237"/>
      <c r="O21" s="237"/>
      <c r="P21" s="237"/>
      <c r="Q21" s="237"/>
      <c r="R21" s="237"/>
    </row>
    <row r="22" spans="1:18" s="226" customFormat="1" ht="12.75">
      <c r="A22" s="244" t="s">
        <v>8</v>
      </c>
      <c r="B22" s="244"/>
      <c r="C22" s="244"/>
      <c r="D22" s="237"/>
      <c r="E22" s="237"/>
      <c r="F22" s="237"/>
      <c r="G22" s="237"/>
      <c r="H22" s="237"/>
      <c r="I22" s="237"/>
      <c r="J22" s="237"/>
      <c r="K22" s="237"/>
      <c r="L22" s="237"/>
      <c r="M22" s="237"/>
      <c r="N22" s="237"/>
      <c r="O22" s="237"/>
      <c r="P22" s="237"/>
      <c r="Q22" s="237"/>
      <c r="R22" s="237"/>
    </row>
    <row r="23" spans="1:18" s="226" customFormat="1" ht="12.75">
      <c r="A23" s="244" t="s">
        <v>9</v>
      </c>
      <c r="B23" s="244"/>
      <c r="C23" s="244"/>
      <c r="D23" s="237"/>
      <c r="E23" s="237"/>
      <c r="F23" s="237"/>
      <c r="G23" s="237"/>
      <c r="H23" s="237"/>
      <c r="I23" s="237"/>
      <c r="J23" s="237"/>
      <c r="K23" s="237"/>
      <c r="L23" s="237"/>
      <c r="M23" s="237"/>
      <c r="N23" s="237"/>
      <c r="O23" s="237"/>
      <c r="P23" s="237"/>
      <c r="Q23" s="237"/>
      <c r="R23" s="237"/>
    </row>
    <row r="24" spans="1:3" ht="12.75">
      <c r="A24" s="244"/>
      <c r="B24" s="244"/>
      <c r="C24" s="244"/>
    </row>
    <row r="25" spans="1:18" s="226" customFormat="1" ht="12.75" customHeight="1">
      <c r="A25" s="244" t="s">
        <v>11</v>
      </c>
      <c r="B25" s="237"/>
      <c r="C25" s="237"/>
      <c r="D25" s="237"/>
      <c r="E25" s="237"/>
      <c r="F25" s="237"/>
      <c r="G25" s="237"/>
      <c r="H25" s="244"/>
      <c r="I25" s="237"/>
      <c r="J25" s="244"/>
      <c r="K25" s="244"/>
      <c r="L25" s="244"/>
      <c r="M25" s="244"/>
      <c r="N25" s="991"/>
      <c r="O25" s="991"/>
      <c r="P25" s="991"/>
      <c r="Q25" s="991"/>
      <c r="R25" s="237"/>
    </row>
    <row r="26" spans="1:18" s="226" customFormat="1" ht="12.75" customHeight="1">
      <c r="A26" s="237"/>
      <c r="B26" s="237"/>
      <c r="C26" s="237"/>
      <c r="D26" s="237"/>
      <c r="E26" s="237"/>
      <c r="F26" s="237"/>
      <c r="G26" s="237"/>
      <c r="H26" s="237"/>
      <c r="I26" s="244"/>
      <c r="J26" s="237"/>
      <c r="K26" s="293"/>
      <c r="L26" s="293"/>
      <c r="M26" s="293"/>
      <c r="N26" s="992" t="s">
        <v>819</v>
      </c>
      <c r="O26" s="992"/>
      <c r="P26" s="992"/>
      <c r="Q26" s="992"/>
      <c r="R26" s="237"/>
    </row>
    <row r="27" spans="1:18" s="226" customFormat="1" ht="12.75" customHeight="1">
      <c r="A27" s="237"/>
      <c r="B27" s="237"/>
      <c r="C27" s="237"/>
      <c r="D27" s="237"/>
      <c r="E27" s="237"/>
      <c r="F27" s="237"/>
      <c r="G27" s="237"/>
      <c r="H27" s="237"/>
      <c r="I27" s="237"/>
      <c r="J27" s="293"/>
      <c r="K27" s="293"/>
      <c r="L27" s="293"/>
      <c r="M27" s="293"/>
      <c r="N27" s="992" t="s">
        <v>487</v>
      </c>
      <c r="O27" s="992"/>
      <c r="P27" s="992"/>
      <c r="Q27" s="992"/>
      <c r="R27" s="237"/>
    </row>
    <row r="28" spans="1:18" s="226" customFormat="1" ht="12.75">
      <c r="A28" s="244"/>
      <c r="B28" s="244"/>
      <c r="C28" s="237"/>
      <c r="D28" s="237"/>
      <c r="E28" s="237"/>
      <c r="F28" s="237"/>
      <c r="G28" s="237"/>
      <c r="H28" s="237"/>
      <c r="I28" s="237"/>
      <c r="J28" s="244"/>
      <c r="K28" s="244"/>
      <c r="L28" s="244"/>
      <c r="M28" s="244"/>
      <c r="N28" s="244"/>
      <c r="O28" s="414" t="s">
        <v>80</v>
      </c>
      <c r="P28" s="414"/>
      <c r="Q28" s="415"/>
      <c r="R28" s="237"/>
    </row>
    <row r="30" spans="1:16" ht="12.75">
      <c r="A30" s="990"/>
      <c r="B30" s="990"/>
      <c r="C30" s="990"/>
      <c r="D30" s="990"/>
      <c r="E30" s="990"/>
      <c r="F30" s="990"/>
      <c r="G30" s="990"/>
      <c r="H30" s="990"/>
      <c r="I30" s="990"/>
      <c r="J30" s="990"/>
      <c r="K30" s="990"/>
      <c r="L30" s="990"/>
      <c r="M30" s="990"/>
      <c r="N30" s="990"/>
      <c r="O30" s="990"/>
      <c r="P30" s="990"/>
    </row>
  </sheetData>
  <sheetProtection/>
  <mergeCells count="30">
    <mergeCell ref="A8:A9"/>
    <mergeCell ref="B8:B9"/>
    <mergeCell ref="C8:C9"/>
    <mergeCell ref="D8:F9"/>
    <mergeCell ref="A30:P30"/>
    <mergeCell ref="N25:Q25"/>
    <mergeCell ref="N26:Q26"/>
    <mergeCell ref="N27:Q27"/>
    <mergeCell ref="D12:F12"/>
    <mergeCell ref="D19:F19"/>
    <mergeCell ref="D15:F15"/>
    <mergeCell ref="D16:F16"/>
    <mergeCell ref="J7:P7"/>
    <mergeCell ref="D17:F17"/>
    <mergeCell ref="D18:F18"/>
    <mergeCell ref="D14:F14"/>
    <mergeCell ref="D10:F10"/>
    <mergeCell ref="D11:F11"/>
    <mergeCell ref="D13:F13"/>
    <mergeCell ref="G13:N15"/>
    <mergeCell ref="Q8:R8"/>
    <mergeCell ref="G8:J8"/>
    <mergeCell ref="A6:P6"/>
    <mergeCell ref="A7:B7"/>
    <mergeCell ref="K8:P8"/>
    <mergeCell ref="D1:G1"/>
    <mergeCell ref="O1:P1"/>
    <mergeCell ref="A2:P2"/>
    <mergeCell ref="A3:P3"/>
    <mergeCell ref="A5:P5"/>
  </mergeCells>
  <printOptions horizontalCentered="1"/>
  <pageMargins left="0.52" right="0.18" top="1.09" bottom="0" header="0.76" footer="0.31496062992125984"/>
  <pageSetup fitToHeight="1" fitToWidth="1" horizontalDpi="600" verticalDpi="600" orientation="landscape" paperSize="9" scale="81" r:id="rId1"/>
</worksheet>
</file>

<file path=xl/worksheets/sheet62.xml><?xml version="1.0" encoding="utf-8"?>
<worksheet xmlns="http://schemas.openxmlformats.org/spreadsheetml/2006/main" xmlns:r="http://schemas.openxmlformats.org/officeDocument/2006/relationships">
  <sheetPr>
    <pageSetUpPr fitToPage="1"/>
  </sheetPr>
  <dimension ref="A1:AS35"/>
  <sheetViews>
    <sheetView view="pageBreakPreview" zoomScale="90" zoomScaleSheetLayoutView="90" zoomScalePageLayoutView="0" workbookViewId="0" topLeftCell="A1">
      <selection activeCell="B7" sqref="B7:B8"/>
    </sheetView>
  </sheetViews>
  <sheetFormatPr defaultColWidth="9.140625" defaultRowHeight="12.75"/>
  <cols>
    <col min="1" max="1" width="5.140625" style="78" customWidth="1"/>
    <col min="2" max="2" width="14.57421875" style="78" customWidth="1"/>
    <col min="3" max="4" width="8.57421875" style="78" customWidth="1"/>
    <col min="5" max="5" width="8.7109375" style="78" customWidth="1"/>
    <col min="6" max="6" width="8.57421875" style="78" customWidth="1"/>
    <col min="7" max="7" width="9.7109375" style="78" customWidth="1"/>
    <col min="8" max="8" width="10.28125" style="78" customWidth="1"/>
    <col min="9" max="9" width="9.7109375" style="78" customWidth="1"/>
    <col min="10" max="10" width="9.00390625" style="78" customWidth="1"/>
    <col min="11" max="11" width="7.00390625" style="78" customWidth="1"/>
    <col min="12" max="12" width="7.28125" style="78" customWidth="1"/>
    <col min="13" max="13" width="7.421875" style="78" customWidth="1"/>
    <col min="14" max="14" width="7.8515625" style="78" customWidth="1"/>
    <col min="15" max="15" width="11.421875" style="78" customWidth="1"/>
    <col min="16" max="16" width="12.28125" style="78" customWidth="1"/>
    <col min="17" max="17" width="11.57421875" style="78" customWidth="1"/>
    <col min="18" max="18" width="19.28125" style="78" customWidth="1"/>
    <col min="19" max="19" width="4.7109375" style="78" customWidth="1"/>
    <col min="20" max="20" width="9.140625" style="78" hidden="1" customWidth="1"/>
    <col min="21" max="16384" width="9.140625" style="78" customWidth="1"/>
  </cols>
  <sheetData>
    <row r="1" spans="1:19" s="16" customFormat="1" ht="15.75">
      <c r="A1" s="644" t="s">
        <v>549</v>
      </c>
      <c r="B1" s="644"/>
      <c r="C1" s="644"/>
      <c r="D1" s="644"/>
      <c r="E1" s="644"/>
      <c r="F1" s="644"/>
      <c r="G1" s="644"/>
      <c r="H1" s="644"/>
      <c r="I1" s="644"/>
      <c r="J1" s="644"/>
      <c r="K1" s="644"/>
      <c r="L1" s="644"/>
      <c r="M1" s="644"/>
      <c r="N1" s="644"/>
      <c r="O1" s="644"/>
      <c r="P1" s="644"/>
      <c r="Q1" s="644"/>
      <c r="R1" s="744" t="s">
        <v>743</v>
      </c>
      <c r="S1" s="744"/>
    </row>
    <row r="2" spans="1:19" s="16" customFormat="1" ht="20.25">
      <c r="A2" s="645" t="s">
        <v>854</v>
      </c>
      <c r="B2" s="645"/>
      <c r="C2" s="645"/>
      <c r="D2" s="645"/>
      <c r="E2" s="645"/>
      <c r="F2" s="645"/>
      <c r="G2" s="645"/>
      <c r="H2" s="645"/>
      <c r="I2" s="645"/>
      <c r="J2" s="645"/>
      <c r="K2" s="645"/>
      <c r="L2" s="645"/>
      <c r="M2" s="645"/>
      <c r="N2" s="645"/>
      <c r="O2" s="645"/>
      <c r="P2" s="645"/>
      <c r="Q2" s="645"/>
      <c r="R2" s="645"/>
      <c r="S2" s="645"/>
    </row>
    <row r="3" spans="2:10" s="16" customFormat="1" ht="20.25">
      <c r="B3" s="123"/>
      <c r="C3" s="123"/>
      <c r="D3" s="123"/>
      <c r="E3" s="123"/>
      <c r="F3" s="123"/>
      <c r="G3" s="123"/>
      <c r="H3" s="123"/>
      <c r="I3" s="123"/>
      <c r="J3" s="123"/>
    </row>
    <row r="4" spans="1:20" ht="18">
      <c r="A4" s="1025" t="s">
        <v>972</v>
      </c>
      <c r="B4" s="1025"/>
      <c r="C4" s="1025"/>
      <c r="D4" s="1025"/>
      <c r="E4" s="1025"/>
      <c r="F4" s="1025"/>
      <c r="G4" s="1025"/>
      <c r="H4" s="1025"/>
      <c r="I4" s="1025"/>
      <c r="J4" s="1025"/>
      <c r="K4" s="1025"/>
      <c r="L4" s="1025"/>
      <c r="M4" s="1025"/>
      <c r="N4" s="1025"/>
      <c r="O4" s="1025"/>
      <c r="P4" s="1025"/>
      <c r="Q4" s="1025"/>
      <c r="R4" s="1025"/>
      <c r="S4" s="1025"/>
      <c r="T4" s="1025"/>
    </row>
    <row r="5" spans="1:2" ht="15">
      <c r="A5" s="699" t="s">
        <v>475</v>
      </c>
      <c r="B5" s="699"/>
    </row>
    <row r="6" ht="15">
      <c r="B6" s="81"/>
    </row>
    <row r="7" spans="1:18" s="301" customFormat="1" ht="38.25" customHeight="1">
      <c r="A7" s="653" t="s">
        <v>491</v>
      </c>
      <c r="B7" s="1018" t="s">
        <v>3</v>
      </c>
      <c r="C7" s="1023" t="s">
        <v>242</v>
      </c>
      <c r="D7" s="1023"/>
      <c r="E7" s="1023"/>
      <c r="F7" s="1023"/>
      <c r="G7" s="1020" t="s">
        <v>928</v>
      </c>
      <c r="H7" s="1021"/>
      <c r="I7" s="1021"/>
      <c r="J7" s="1024"/>
      <c r="K7" s="1020" t="s">
        <v>206</v>
      </c>
      <c r="L7" s="1021"/>
      <c r="M7" s="1021"/>
      <c r="N7" s="1024"/>
      <c r="O7" s="1020" t="s">
        <v>103</v>
      </c>
      <c r="P7" s="1021"/>
      <c r="Q7" s="1021"/>
      <c r="R7" s="1022"/>
    </row>
    <row r="8" spans="1:19" s="301" customFormat="1" ht="38.25" customHeight="1">
      <c r="A8" s="653"/>
      <c r="B8" s="1019"/>
      <c r="C8" s="299" t="s">
        <v>89</v>
      </c>
      <c r="D8" s="299" t="s">
        <v>93</v>
      </c>
      <c r="E8" s="299" t="s">
        <v>94</v>
      </c>
      <c r="F8" s="299" t="s">
        <v>15</v>
      </c>
      <c r="G8" s="299" t="s">
        <v>89</v>
      </c>
      <c r="H8" s="299" t="s">
        <v>93</v>
      </c>
      <c r="I8" s="299" t="s">
        <v>94</v>
      </c>
      <c r="J8" s="299" t="s">
        <v>15</v>
      </c>
      <c r="K8" s="299" t="s">
        <v>89</v>
      </c>
      <c r="L8" s="299" t="s">
        <v>93</v>
      </c>
      <c r="M8" s="299" t="s">
        <v>94</v>
      </c>
      <c r="N8" s="299" t="s">
        <v>15</v>
      </c>
      <c r="O8" s="299" t="s">
        <v>141</v>
      </c>
      <c r="P8" s="299" t="s">
        <v>142</v>
      </c>
      <c r="Q8" s="471" t="s">
        <v>143</v>
      </c>
      <c r="R8" s="299" t="s">
        <v>144</v>
      </c>
      <c r="S8" s="300"/>
    </row>
    <row r="9" spans="1:18" s="154" customFormat="1" ht="15.75" customHeight="1">
      <c r="A9" s="5">
        <v>1</v>
      </c>
      <c r="B9" s="87">
        <v>2</v>
      </c>
      <c r="C9" s="88">
        <v>3</v>
      </c>
      <c r="D9" s="88">
        <v>4</v>
      </c>
      <c r="E9" s="88">
        <v>5</v>
      </c>
      <c r="F9" s="88">
        <v>6</v>
      </c>
      <c r="G9" s="88">
        <v>7</v>
      </c>
      <c r="H9" s="88">
        <v>8</v>
      </c>
      <c r="I9" s="88">
        <v>9</v>
      </c>
      <c r="J9" s="88">
        <v>10</v>
      </c>
      <c r="K9" s="88">
        <v>11</v>
      </c>
      <c r="L9" s="88">
        <v>12</v>
      </c>
      <c r="M9" s="88">
        <v>13</v>
      </c>
      <c r="N9" s="88">
        <v>14</v>
      </c>
      <c r="O9" s="88">
        <v>15</v>
      </c>
      <c r="P9" s="88">
        <v>16</v>
      </c>
      <c r="Q9" s="88">
        <v>17</v>
      </c>
      <c r="R9" s="87">
        <v>18</v>
      </c>
    </row>
    <row r="10" spans="1:18" ht="15">
      <c r="A10" s="8">
        <v>1</v>
      </c>
      <c r="B10" s="19" t="s">
        <v>476</v>
      </c>
      <c r="C10" s="83">
        <v>844</v>
      </c>
      <c r="D10" s="83">
        <f>'AT3A_cvrg(Insti)_PY'!D12+'AT3C_cvrg(Insti)_UPY '!D11</f>
        <v>41</v>
      </c>
      <c r="E10" s="83">
        <v>0</v>
      </c>
      <c r="F10" s="83">
        <f>C10+D10+E10</f>
        <v>885</v>
      </c>
      <c r="G10" s="83">
        <f>J10-H10</f>
        <v>732</v>
      </c>
      <c r="H10" s="83">
        <f>D10</f>
        <v>41</v>
      </c>
      <c r="I10" s="83">
        <v>0</v>
      </c>
      <c r="J10" s="83">
        <f>'AT11A_KS-District wise'!E12</f>
        <v>773</v>
      </c>
      <c r="K10" s="83">
        <f>'AT11A_KS-District wise'!K12</f>
        <v>88</v>
      </c>
      <c r="L10" s="83">
        <v>0</v>
      </c>
      <c r="M10" s="83">
        <v>0</v>
      </c>
      <c r="N10" s="83">
        <f>K10+L10+M10</f>
        <v>88</v>
      </c>
      <c r="O10" s="83">
        <f>C10-(G10+K10)</f>
        <v>24</v>
      </c>
      <c r="P10" s="83">
        <f>D10-(H10+L10)</f>
        <v>0</v>
      </c>
      <c r="Q10" s="83">
        <f>E10-(I10+M10)</f>
        <v>0</v>
      </c>
      <c r="R10" s="83">
        <f>F10-(J10+N10)</f>
        <v>24</v>
      </c>
    </row>
    <row r="11" spans="1:18" ht="15">
      <c r="A11" s="8">
        <v>2</v>
      </c>
      <c r="B11" s="19" t="s">
        <v>477</v>
      </c>
      <c r="C11" s="83">
        <v>801</v>
      </c>
      <c r="D11" s="83">
        <f>'AT3A_cvrg(Insti)_PY'!D13+'AT3C_cvrg(Insti)_UPY '!D12</f>
        <v>2</v>
      </c>
      <c r="E11" s="83">
        <v>0</v>
      </c>
      <c r="F11" s="83">
        <f aca="true" t="shared" si="0" ref="F11:F17">C11+D11+E11</f>
        <v>803</v>
      </c>
      <c r="G11" s="83">
        <f aca="true" t="shared" si="1" ref="G11:G17">J11-H11</f>
        <v>741</v>
      </c>
      <c r="H11" s="83">
        <f aca="true" t="shared" si="2" ref="H11:H17">D11</f>
        <v>2</v>
      </c>
      <c r="I11" s="83">
        <v>0</v>
      </c>
      <c r="J11" s="83">
        <f>'AT11A_KS-District wise'!E13</f>
        <v>743</v>
      </c>
      <c r="K11" s="83">
        <f>'AT11A_KS-District wise'!K13</f>
        <v>29</v>
      </c>
      <c r="L11" s="83">
        <v>0</v>
      </c>
      <c r="M11" s="83">
        <v>0</v>
      </c>
      <c r="N11" s="83">
        <f aca="true" t="shared" si="3" ref="N11:N17">K11+L11+M11</f>
        <v>29</v>
      </c>
      <c r="O11" s="83">
        <f aca="true" t="shared" si="4" ref="O11:O17">C11-(G11+K11)</f>
        <v>31</v>
      </c>
      <c r="P11" s="83">
        <f aca="true" t="shared" si="5" ref="P11:P17">D11-(H11+L11)</f>
        <v>0</v>
      </c>
      <c r="Q11" s="83">
        <f aca="true" t="shared" si="6" ref="Q11:Q17">E11-(I11+M11)</f>
        <v>0</v>
      </c>
      <c r="R11" s="83">
        <f aca="true" t="shared" si="7" ref="R11:R17">F11-(J11+N11)</f>
        <v>31</v>
      </c>
    </row>
    <row r="12" spans="1:18" ht="15">
      <c r="A12" s="8">
        <v>3</v>
      </c>
      <c r="B12" s="19" t="s">
        <v>478</v>
      </c>
      <c r="C12" s="83">
        <v>664</v>
      </c>
      <c r="D12" s="83">
        <f>'AT3A_cvrg(Insti)_PY'!D14+'AT3C_cvrg(Insti)_UPY '!D13</f>
        <v>7</v>
      </c>
      <c r="E12" s="83">
        <v>0</v>
      </c>
      <c r="F12" s="83">
        <f t="shared" si="0"/>
        <v>671</v>
      </c>
      <c r="G12" s="83">
        <f t="shared" si="1"/>
        <v>565</v>
      </c>
      <c r="H12" s="83">
        <f t="shared" si="2"/>
        <v>7</v>
      </c>
      <c r="I12" s="83">
        <v>0</v>
      </c>
      <c r="J12" s="83">
        <f>'AT11A_KS-District wise'!E14</f>
        <v>572</v>
      </c>
      <c r="K12" s="83">
        <f>'AT11A_KS-District wise'!K14</f>
        <v>54</v>
      </c>
      <c r="L12" s="83">
        <v>0</v>
      </c>
      <c r="M12" s="83">
        <v>0</v>
      </c>
      <c r="N12" s="83">
        <f t="shared" si="3"/>
        <v>54</v>
      </c>
      <c r="O12" s="83">
        <f t="shared" si="4"/>
        <v>45</v>
      </c>
      <c r="P12" s="83">
        <f t="shared" si="5"/>
        <v>0</v>
      </c>
      <c r="Q12" s="83">
        <f t="shared" si="6"/>
        <v>0</v>
      </c>
      <c r="R12" s="83">
        <f t="shared" si="7"/>
        <v>45</v>
      </c>
    </row>
    <row r="13" spans="1:18" ht="15">
      <c r="A13" s="8">
        <v>4</v>
      </c>
      <c r="B13" s="19" t="s">
        <v>479</v>
      </c>
      <c r="C13" s="83">
        <v>796</v>
      </c>
      <c r="D13" s="83">
        <f>'AT3A_cvrg(Insti)_PY'!D15+'AT3C_cvrg(Insti)_UPY '!D14</f>
        <v>2</v>
      </c>
      <c r="E13" s="83">
        <v>0</v>
      </c>
      <c r="F13" s="83">
        <f t="shared" si="0"/>
        <v>798</v>
      </c>
      <c r="G13" s="83">
        <f t="shared" si="1"/>
        <v>662</v>
      </c>
      <c r="H13" s="83">
        <f t="shared" si="2"/>
        <v>2</v>
      </c>
      <c r="I13" s="83">
        <v>0</v>
      </c>
      <c r="J13" s="83">
        <f>'AT11A_KS-District wise'!E15</f>
        <v>664</v>
      </c>
      <c r="K13" s="83">
        <f>'AT11A_KS-District wise'!K15</f>
        <v>105</v>
      </c>
      <c r="L13" s="83">
        <v>0</v>
      </c>
      <c r="M13" s="83">
        <v>0</v>
      </c>
      <c r="N13" s="83">
        <f t="shared" si="3"/>
        <v>105</v>
      </c>
      <c r="O13" s="83">
        <f t="shared" si="4"/>
        <v>29</v>
      </c>
      <c r="P13" s="83">
        <f t="shared" si="5"/>
        <v>0</v>
      </c>
      <c r="Q13" s="83">
        <f t="shared" si="6"/>
        <v>0</v>
      </c>
      <c r="R13" s="83">
        <f t="shared" si="7"/>
        <v>29</v>
      </c>
    </row>
    <row r="14" spans="1:45" s="83" customFormat="1" ht="15">
      <c r="A14" s="8">
        <v>5</v>
      </c>
      <c r="B14" s="19" t="s">
        <v>480</v>
      </c>
      <c r="C14" s="83">
        <v>913</v>
      </c>
      <c r="D14" s="83">
        <f>'AT3A_cvrg(Insti)_PY'!D16+'AT3C_cvrg(Insti)_UPY '!D15</f>
        <v>2</v>
      </c>
      <c r="E14" s="83">
        <v>0</v>
      </c>
      <c r="F14" s="83">
        <f t="shared" si="0"/>
        <v>915</v>
      </c>
      <c r="G14" s="83">
        <f t="shared" si="1"/>
        <v>822</v>
      </c>
      <c r="H14" s="83">
        <f t="shared" si="2"/>
        <v>2</v>
      </c>
      <c r="I14" s="83">
        <v>0</v>
      </c>
      <c r="J14" s="83">
        <f>'AT11A_KS-District wise'!E16</f>
        <v>824</v>
      </c>
      <c r="K14" s="83">
        <f>'AT11A_KS-District wise'!K16</f>
        <v>91</v>
      </c>
      <c r="L14" s="83">
        <v>0</v>
      </c>
      <c r="M14" s="83">
        <v>0</v>
      </c>
      <c r="N14" s="83">
        <f t="shared" si="3"/>
        <v>91</v>
      </c>
      <c r="O14" s="83">
        <f t="shared" si="4"/>
        <v>0</v>
      </c>
      <c r="P14" s="83">
        <f t="shared" si="5"/>
        <v>0</v>
      </c>
      <c r="Q14" s="83">
        <f t="shared" si="6"/>
        <v>0</v>
      </c>
      <c r="R14" s="83">
        <f t="shared" si="7"/>
        <v>0</v>
      </c>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row>
    <row r="15" spans="1:18" s="84" customFormat="1" ht="15">
      <c r="A15" s="8">
        <v>6</v>
      </c>
      <c r="B15" s="19" t="s">
        <v>481</v>
      </c>
      <c r="C15" s="83">
        <v>440</v>
      </c>
      <c r="D15" s="83">
        <f>'AT3A_cvrg(Insti)_PY'!D17+'AT3C_cvrg(Insti)_UPY '!D16</f>
        <v>7</v>
      </c>
      <c r="E15" s="83">
        <v>0</v>
      </c>
      <c r="F15" s="83">
        <f t="shared" si="0"/>
        <v>447</v>
      </c>
      <c r="G15" s="83">
        <f t="shared" si="1"/>
        <v>408</v>
      </c>
      <c r="H15" s="83">
        <f t="shared" si="2"/>
        <v>7</v>
      </c>
      <c r="I15" s="83">
        <v>0</v>
      </c>
      <c r="J15" s="83">
        <f>'AT11A_KS-District wise'!E17</f>
        <v>415</v>
      </c>
      <c r="K15" s="83">
        <f>'AT11A_KS-District wise'!K17</f>
        <v>0</v>
      </c>
      <c r="L15" s="83">
        <v>0</v>
      </c>
      <c r="M15" s="83">
        <v>0</v>
      </c>
      <c r="N15" s="83">
        <f t="shared" si="3"/>
        <v>0</v>
      </c>
      <c r="O15" s="83">
        <f t="shared" si="4"/>
        <v>32</v>
      </c>
      <c r="P15" s="83">
        <f t="shared" si="5"/>
        <v>0</v>
      </c>
      <c r="Q15" s="83">
        <f t="shared" si="6"/>
        <v>0</v>
      </c>
      <c r="R15" s="83">
        <f t="shared" si="7"/>
        <v>32</v>
      </c>
    </row>
    <row r="16" spans="1:18" s="84" customFormat="1" ht="15">
      <c r="A16" s="8">
        <v>7</v>
      </c>
      <c r="B16" s="19" t="s">
        <v>482</v>
      </c>
      <c r="C16" s="83">
        <v>657</v>
      </c>
      <c r="D16" s="538">
        <f>'AT3A_cvrg(Insti)_PY'!D18+'AT3C_cvrg(Insti)_UPY '!D17</f>
        <v>4</v>
      </c>
      <c r="E16" s="83">
        <v>0</v>
      </c>
      <c r="F16" s="83">
        <f t="shared" si="0"/>
        <v>661</v>
      </c>
      <c r="G16" s="83">
        <f t="shared" si="1"/>
        <v>585</v>
      </c>
      <c r="H16" s="83">
        <f t="shared" si="2"/>
        <v>4</v>
      </c>
      <c r="I16" s="83">
        <v>0</v>
      </c>
      <c r="J16" s="83">
        <f>'AT11A_KS-District wise'!E18</f>
        <v>589</v>
      </c>
      <c r="K16" s="83">
        <f>'AT11A_KS-District wise'!K18</f>
        <v>43</v>
      </c>
      <c r="L16" s="83">
        <v>0</v>
      </c>
      <c r="M16" s="83">
        <v>0</v>
      </c>
      <c r="N16" s="83">
        <f t="shared" si="3"/>
        <v>43</v>
      </c>
      <c r="O16" s="83">
        <f t="shared" si="4"/>
        <v>29</v>
      </c>
      <c r="P16" s="83">
        <f t="shared" si="5"/>
        <v>0</v>
      </c>
      <c r="Q16" s="83">
        <f t="shared" si="6"/>
        <v>0</v>
      </c>
      <c r="R16" s="83">
        <f t="shared" si="7"/>
        <v>29</v>
      </c>
    </row>
    <row r="17" spans="1:18" ht="15">
      <c r="A17" s="8">
        <v>8</v>
      </c>
      <c r="B17" s="19" t="s">
        <v>483</v>
      </c>
      <c r="C17" s="83">
        <v>1136</v>
      </c>
      <c r="D17" s="83">
        <f>'AT3A_cvrg(Insti)_PY'!D19+'AT3C_cvrg(Insti)_UPY '!D18</f>
        <v>1</v>
      </c>
      <c r="E17" s="83">
        <v>0</v>
      </c>
      <c r="F17" s="83">
        <f t="shared" si="0"/>
        <v>1137</v>
      </c>
      <c r="G17" s="83">
        <f t="shared" si="1"/>
        <v>984</v>
      </c>
      <c r="H17" s="83">
        <f t="shared" si="2"/>
        <v>1</v>
      </c>
      <c r="I17" s="83">
        <v>0</v>
      </c>
      <c r="J17" s="83">
        <f>'AT11A_KS-District wise'!E19</f>
        <v>985</v>
      </c>
      <c r="K17" s="83">
        <f>'AT11A_KS-District wise'!K19</f>
        <v>152</v>
      </c>
      <c r="L17" s="83">
        <v>0</v>
      </c>
      <c r="M17" s="83">
        <v>0</v>
      </c>
      <c r="N17" s="83">
        <f t="shared" si="3"/>
        <v>152</v>
      </c>
      <c r="O17" s="83">
        <f t="shared" si="4"/>
        <v>0</v>
      </c>
      <c r="P17" s="83">
        <f t="shared" si="5"/>
        <v>0</v>
      </c>
      <c r="Q17" s="83">
        <f t="shared" si="6"/>
        <v>0</v>
      </c>
      <c r="R17" s="83">
        <f t="shared" si="7"/>
        <v>0</v>
      </c>
    </row>
    <row r="18" spans="1:18" ht="15">
      <c r="A18" s="3"/>
      <c r="B18" s="27" t="s">
        <v>484</v>
      </c>
      <c r="C18" s="83">
        <f>SUM(C10:C17)</f>
        <v>6251</v>
      </c>
      <c r="D18" s="83">
        <f aca="true" t="shared" si="8" ref="D18:R18">SUM(D10:D17)</f>
        <v>66</v>
      </c>
      <c r="E18" s="83">
        <f t="shared" si="8"/>
        <v>0</v>
      </c>
      <c r="F18" s="83">
        <f t="shared" si="8"/>
        <v>6317</v>
      </c>
      <c r="G18" s="83">
        <f t="shared" si="8"/>
        <v>5499</v>
      </c>
      <c r="H18" s="83">
        <f t="shared" si="8"/>
        <v>66</v>
      </c>
      <c r="I18" s="83">
        <f t="shared" si="8"/>
        <v>0</v>
      </c>
      <c r="J18" s="83">
        <f t="shared" si="8"/>
        <v>5565</v>
      </c>
      <c r="K18" s="83">
        <f t="shared" si="8"/>
        <v>562</v>
      </c>
      <c r="L18" s="83">
        <f t="shared" si="8"/>
        <v>0</v>
      </c>
      <c r="M18" s="83">
        <f t="shared" si="8"/>
        <v>0</v>
      </c>
      <c r="N18" s="83">
        <f t="shared" si="8"/>
        <v>562</v>
      </c>
      <c r="O18" s="83">
        <f t="shared" si="8"/>
        <v>190</v>
      </c>
      <c r="P18" s="83">
        <f t="shared" si="8"/>
        <v>0</v>
      </c>
      <c r="Q18" s="83">
        <f t="shared" si="8"/>
        <v>0</v>
      </c>
      <c r="R18" s="627">
        <f t="shared" si="8"/>
        <v>190</v>
      </c>
    </row>
    <row r="19" spans="1:18" ht="15">
      <c r="A19" s="12" t="s">
        <v>559</v>
      </c>
      <c r="B19" s="477" t="s">
        <v>813</v>
      </c>
      <c r="C19" s="626"/>
      <c r="D19" s="626"/>
      <c r="E19" s="626"/>
      <c r="F19" s="626"/>
      <c r="G19" s="626"/>
      <c r="H19" s="626"/>
      <c r="I19" s="626"/>
      <c r="J19" s="626"/>
      <c r="K19" s="626"/>
      <c r="L19" s="626"/>
      <c r="M19" s="626"/>
      <c r="N19" s="626"/>
      <c r="O19" s="84"/>
      <c r="P19" s="84"/>
      <c r="Q19" s="84"/>
      <c r="R19" s="84"/>
    </row>
    <row r="20" spans="1:18" ht="15">
      <c r="A20" s="12"/>
      <c r="B20" s="28"/>
      <c r="C20" s="84"/>
      <c r="D20" s="84"/>
      <c r="E20" s="84"/>
      <c r="F20" s="84"/>
      <c r="G20" s="84"/>
      <c r="H20" s="84"/>
      <c r="I20" s="84"/>
      <c r="J20" s="84"/>
      <c r="K20" s="84"/>
      <c r="L20" s="84"/>
      <c r="M20" s="84"/>
      <c r="N20" s="84"/>
      <c r="O20" s="84"/>
      <c r="P20" s="84"/>
      <c r="Q20" s="84"/>
      <c r="R20" s="84"/>
    </row>
    <row r="22" spans="1:19" s="16" customFormat="1" ht="12.75">
      <c r="A22" s="15" t="s">
        <v>11</v>
      </c>
      <c r="G22" s="15"/>
      <c r="H22" s="15"/>
      <c r="K22" s="15"/>
      <c r="L22" s="15"/>
      <c r="M22" s="15"/>
      <c r="N22" s="15"/>
      <c r="O22" s="15"/>
      <c r="P22" s="991"/>
      <c r="Q22" s="991"/>
      <c r="R22" s="991"/>
      <c r="S22" s="991"/>
    </row>
    <row r="23" spans="10:19" s="16" customFormat="1" ht="12.75" customHeight="1">
      <c r="J23" s="15"/>
      <c r="L23" s="31"/>
      <c r="M23" s="31"/>
      <c r="N23" s="31"/>
      <c r="O23" s="31"/>
      <c r="P23" s="992" t="s">
        <v>819</v>
      </c>
      <c r="Q23" s="992"/>
      <c r="R23" s="992"/>
      <c r="S23" s="992"/>
    </row>
    <row r="24" spans="1:19" s="16" customFormat="1" ht="12.75" customHeight="1">
      <c r="A24" s="16" t="s">
        <v>10</v>
      </c>
      <c r="K24" s="31"/>
      <c r="L24" s="31"/>
      <c r="M24" s="31"/>
      <c r="N24" s="31"/>
      <c r="O24" s="31"/>
      <c r="P24" s="992" t="s">
        <v>487</v>
      </c>
      <c r="Q24" s="992"/>
      <c r="R24" s="992"/>
      <c r="S24" s="992"/>
    </row>
    <row r="25" spans="1:19" s="16" customFormat="1" ht="12.75">
      <c r="A25" s="15"/>
      <c r="B25" s="15"/>
      <c r="K25" s="15"/>
      <c r="L25" s="15"/>
      <c r="M25" s="15"/>
      <c r="N25" s="15"/>
      <c r="O25" s="15"/>
      <c r="P25" s="244"/>
      <c r="Q25" s="414" t="s">
        <v>80</v>
      </c>
      <c r="R25" s="414"/>
      <c r="S25" s="415"/>
    </row>
    <row r="26" spans="3:5" ht="15">
      <c r="C26" s="84"/>
      <c r="D26" s="84"/>
      <c r="E26" s="84"/>
    </row>
    <row r="27" spans="3:5" ht="15">
      <c r="C27" s="84"/>
      <c r="D27" s="84"/>
      <c r="E27" s="84"/>
    </row>
    <row r="28" spans="3:5" ht="15">
      <c r="C28" s="84"/>
      <c r="D28" s="84"/>
      <c r="E28" s="84"/>
    </row>
    <row r="29" spans="3:5" ht="15">
      <c r="C29" s="84"/>
      <c r="D29" s="84"/>
      <c r="E29" s="84"/>
    </row>
    <row r="30" spans="3:5" ht="15">
      <c r="C30" s="84"/>
      <c r="D30" s="84"/>
      <c r="E30" s="84"/>
    </row>
    <row r="31" spans="3:5" ht="15">
      <c r="C31" s="84"/>
      <c r="D31" s="84"/>
      <c r="E31" s="84"/>
    </row>
    <row r="32" spans="3:5" ht="15">
      <c r="C32" s="84"/>
      <c r="D32" s="84"/>
      <c r="E32" s="84"/>
    </row>
    <row r="33" spans="3:5" ht="15">
      <c r="C33" s="84"/>
      <c r="D33" s="84"/>
      <c r="E33" s="84"/>
    </row>
    <row r="34" spans="3:5" ht="15">
      <c r="C34" s="84"/>
      <c r="D34" s="84"/>
      <c r="E34" s="84"/>
    </row>
    <row r="35" spans="3:5" ht="15">
      <c r="C35" s="84"/>
      <c r="D35" s="84"/>
      <c r="E35" s="84"/>
    </row>
  </sheetData>
  <sheetProtection/>
  <mergeCells count="14">
    <mergeCell ref="K7:N7"/>
    <mergeCell ref="G7:J7"/>
    <mergeCell ref="A2:S2"/>
    <mergeCell ref="A4:T4"/>
    <mergeCell ref="P24:S24"/>
    <mergeCell ref="A1:Q1"/>
    <mergeCell ref="A5:B5"/>
    <mergeCell ref="A7:A8"/>
    <mergeCell ref="B7:B8"/>
    <mergeCell ref="P22:S22"/>
    <mergeCell ref="P23:S23"/>
    <mergeCell ref="O7:R7"/>
    <mergeCell ref="R1:S1"/>
    <mergeCell ref="C7:F7"/>
  </mergeCells>
  <printOptions horizontalCentered="1"/>
  <pageMargins left="0.48" right="0.3" top="1.43" bottom="0" header="0.88" footer="0.31496062992125984"/>
  <pageSetup fitToHeight="1" fitToWidth="1" horizontalDpi="600" verticalDpi="600" orientation="landscape" paperSize="9" scale="78" r:id="rId1"/>
</worksheet>
</file>

<file path=xl/worksheets/sheet63.xml><?xml version="1.0" encoding="utf-8"?>
<worksheet xmlns="http://schemas.openxmlformats.org/spreadsheetml/2006/main" xmlns:r="http://schemas.openxmlformats.org/officeDocument/2006/relationships">
  <sheetPr>
    <pageSetUpPr fitToPage="1"/>
  </sheetPr>
  <dimension ref="A1:AS26"/>
  <sheetViews>
    <sheetView view="pageBreakPreview" zoomScale="80" zoomScaleSheetLayoutView="80" zoomScalePageLayoutView="0" workbookViewId="0" topLeftCell="A1">
      <selection activeCell="E14" sqref="E14:O15"/>
    </sheetView>
  </sheetViews>
  <sheetFormatPr defaultColWidth="9.140625" defaultRowHeight="12.75"/>
  <cols>
    <col min="1" max="1" width="6.00390625" style="78" customWidth="1"/>
    <col min="2" max="2" width="13.28125" style="78" customWidth="1"/>
    <col min="3" max="3" width="15.421875" style="78" customWidth="1"/>
    <col min="4" max="4" width="12.140625" style="78" customWidth="1"/>
    <col min="5" max="5" width="8.57421875" style="78" customWidth="1"/>
    <col min="6" max="6" width="9.8515625" style="78" customWidth="1"/>
    <col min="7" max="7" width="15.00390625" style="78" customWidth="1"/>
    <col min="8" max="8" width="10.140625" style="78" customWidth="1"/>
    <col min="9" max="9" width="8.140625" style="78" customWidth="1"/>
    <col min="10" max="10" width="14.140625" style="78" customWidth="1"/>
    <col min="11" max="11" width="11.7109375" style="78" customWidth="1"/>
    <col min="12" max="12" width="10.8515625" style="78" customWidth="1"/>
    <col min="13" max="13" width="8.140625" style="78" customWidth="1"/>
    <col min="14" max="14" width="9.57421875" style="78" customWidth="1"/>
    <col min="15" max="15" width="12.7109375" style="78" customWidth="1"/>
    <col min="16" max="16" width="10.00390625" style="78" customWidth="1"/>
    <col min="17" max="17" width="7.8515625" style="78" customWidth="1"/>
    <col min="18" max="18" width="9.28125" style="78" customWidth="1"/>
    <col min="19" max="19" width="12.7109375" style="78" customWidth="1"/>
    <col min="20" max="20" width="12.28125" style="78" customWidth="1"/>
    <col min="21" max="16384" width="9.140625" style="78" customWidth="1"/>
  </cols>
  <sheetData>
    <row r="1" spans="3:19" s="16" customFormat="1" ht="15.75">
      <c r="C1" s="46"/>
      <c r="D1" s="46"/>
      <c r="E1" s="46"/>
      <c r="F1" s="46"/>
      <c r="G1" s="46"/>
      <c r="H1" s="46"/>
      <c r="I1" s="108" t="s">
        <v>0</v>
      </c>
      <c r="J1" s="46"/>
      <c r="P1" s="744" t="s">
        <v>744</v>
      </c>
      <c r="Q1" s="744"/>
      <c r="R1" s="744"/>
      <c r="S1" s="744"/>
    </row>
    <row r="2" spans="7:17" s="16" customFormat="1" ht="20.25">
      <c r="G2" s="645" t="s">
        <v>854</v>
      </c>
      <c r="H2" s="645"/>
      <c r="I2" s="645"/>
      <c r="J2" s="645"/>
      <c r="K2" s="645"/>
      <c r="L2" s="645"/>
      <c r="M2" s="645"/>
      <c r="N2" s="45"/>
      <c r="O2" s="45"/>
      <c r="P2" s="45"/>
      <c r="Q2" s="45"/>
    </row>
    <row r="3" spans="7:17" s="16" customFormat="1" ht="20.25">
      <c r="G3" s="123"/>
      <c r="H3" s="123"/>
      <c r="I3" s="123"/>
      <c r="J3" s="123"/>
      <c r="K3" s="123"/>
      <c r="L3" s="123"/>
      <c r="M3" s="123"/>
      <c r="N3" s="45"/>
      <c r="O3" s="45"/>
      <c r="P3" s="45"/>
      <c r="Q3" s="45"/>
    </row>
    <row r="4" spans="2:20" ht="18">
      <c r="B4" s="1025" t="s">
        <v>973</v>
      </c>
      <c r="C4" s="1025"/>
      <c r="D4" s="1025"/>
      <c r="E4" s="1025"/>
      <c r="F4" s="1025"/>
      <c r="G4" s="1025"/>
      <c r="H4" s="1025"/>
      <c r="I4" s="1025"/>
      <c r="J4" s="1025"/>
      <c r="K4" s="1025"/>
      <c r="L4" s="1025"/>
      <c r="M4" s="1025"/>
      <c r="N4" s="1025"/>
      <c r="O4" s="1025"/>
      <c r="P4" s="1025"/>
      <c r="Q4" s="1025"/>
      <c r="R4" s="1025"/>
      <c r="S4" s="1025"/>
      <c r="T4" s="1025"/>
    </row>
    <row r="5" spans="3:20" ht="15.75">
      <c r="C5" s="79"/>
      <c r="D5" s="80"/>
      <c r="E5" s="79"/>
      <c r="F5" s="79"/>
      <c r="G5" s="79"/>
      <c r="H5" s="79"/>
      <c r="I5" s="79"/>
      <c r="J5" s="79"/>
      <c r="K5" s="79"/>
      <c r="L5" s="79"/>
      <c r="M5" s="79"/>
      <c r="N5" s="79"/>
      <c r="O5" s="79"/>
      <c r="P5" s="79"/>
      <c r="Q5" s="79"/>
      <c r="R5" s="79"/>
      <c r="S5" s="79"/>
      <c r="T5" s="79"/>
    </row>
    <row r="6" spans="1:2" ht="15">
      <c r="A6" s="699" t="s">
        <v>475</v>
      </c>
      <c r="B6" s="699"/>
    </row>
    <row r="7" spans="2:17" ht="15">
      <c r="B7" s="81"/>
      <c r="Q7" s="115" t="s">
        <v>138</v>
      </c>
    </row>
    <row r="8" spans="1:19" s="301" customFormat="1" ht="32.25" customHeight="1">
      <c r="A8" s="653" t="s">
        <v>491</v>
      </c>
      <c r="B8" s="1018" t="s">
        <v>3</v>
      </c>
      <c r="C8" s="1023" t="s">
        <v>457</v>
      </c>
      <c r="D8" s="1023"/>
      <c r="E8" s="1023"/>
      <c r="F8" s="1023"/>
      <c r="G8" s="1023" t="s">
        <v>540</v>
      </c>
      <c r="H8" s="1023"/>
      <c r="I8" s="1023"/>
      <c r="J8" s="1023"/>
      <c r="K8" s="1023" t="s">
        <v>458</v>
      </c>
      <c r="L8" s="1023"/>
      <c r="M8" s="1023"/>
      <c r="N8" s="1023"/>
      <c r="O8" s="1023" t="s">
        <v>459</v>
      </c>
      <c r="P8" s="1023"/>
      <c r="Q8" s="1023"/>
      <c r="R8" s="1023"/>
      <c r="S8" s="1026" t="s">
        <v>163</v>
      </c>
    </row>
    <row r="9" spans="1:19" s="301" customFormat="1" ht="69" customHeight="1">
      <c r="A9" s="653"/>
      <c r="B9" s="1019"/>
      <c r="C9" s="299" t="s">
        <v>160</v>
      </c>
      <c r="D9" s="303" t="s">
        <v>162</v>
      </c>
      <c r="E9" s="299" t="s">
        <v>137</v>
      </c>
      <c r="F9" s="303" t="s">
        <v>161</v>
      </c>
      <c r="G9" s="299" t="s">
        <v>243</v>
      </c>
      <c r="H9" s="303" t="s">
        <v>162</v>
      </c>
      <c r="I9" s="299" t="s">
        <v>137</v>
      </c>
      <c r="J9" s="303" t="s">
        <v>161</v>
      </c>
      <c r="K9" s="299" t="s">
        <v>243</v>
      </c>
      <c r="L9" s="303" t="s">
        <v>162</v>
      </c>
      <c r="M9" s="299" t="s">
        <v>137</v>
      </c>
      <c r="N9" s="303" t="s">
        <v>161</v>
      </c>
      <c r="O9" s="299" t="s">
        <v>243</v>
      </c>
      <c r="P9" s="302" t="s">
        <v>162</v>
      </c>
      <c r="Q9" s="299" t="s">
        <v>137</v>
      </c>
      <c r="R9" s="302" t="s">
        <v>161</v>
      </c>
      <c r="S9" s="1026"/>
    </row>
    <row r="10" spans="1:19" s="82" customFormat="1" ht="15.75" customHeight="1">
      <c r="A10" s="5">
        <v>1</v>
      </c>
      <c r="B10" s="87">
        <v>2</v>
      </c>
      <c r="C10" s="77">
        <v>3</v>
      </c>
      <c r="D10" s="77">
        <v>4</v>
      </c>
      <c r="E10" s="77">
        <v>5</v>
      </c>
      <c r="F10" s="77">
        <v>6</v>
      </c>
      <c r="G10" s="77">
        <v>7</v>
      </c>
      <c r="H10" s="77">
        <v>8</v>
      </c>
      <c r="I10" s="77">
        <v>9</v>
      </c>
      <c r="J10" s="77">
        <v>10</v>
      </c>
      <c r="K10" s="77">
        <v>11</v>
      </c>
      <c r="L10" s="77">
        <v>12</v>
      </c>
      <c r="M10" s="77">
        <v>13</v>
      </c>
      <c r="N10" s="77">
        <v>14</v>
      </c>
      <c r="O10" s="77">
        <v>15</v>
      </c>
      <c r="P10" s="77">
        <v>16</v>
      </c>
      <c r="Q10" s="77">
        <v>17</v>
      </c>
      <c r="R10" s="77">
        <v>18</v>
      </c>
      <c r="S10" s="126">
        <v>19</v>
      </c>
    </row>
    <row r="11" spans="1:19" ht="15">
      <c r="A11" s="8">
        <v>1</v>
      </c>
      <c r="B11" s="19" t="s">
        <v>476</v>
      </c>
      <c r="C11" s="627"/>
      <c r="D11" s="627"/>
      <c r="E11" s="628"/>
      <c r="F11" s="627"/>
      <c r="G11" s="627"/>
      <c r="H11" s="627"/>
      <c r="I11" s="627"/>
      <c r="J11" s="629"/>
      <c r="K11" s="627"/>
      <c r="L11" s="627"/>
      <c r="M11" s="627"/>
      <c r="N11" s="627"/>
      <c r="O11" s="627"/>
      <c r="P11" s="627"/>
      <c r="Q11" s="627"/>
      <c r="R11" s="627"/>
      <c r="S11" s="629"/>
    </row>
    <row r="12" spans="1:19" ht="15">
      <c r="A12" s="8">
        <v>2</v>
      </c>
      <c r="B12" s="19" t="s">
        <v>477</v>
      </c>
      <c r="C12" s="627"/>
      <c r="D12" s="627"/>
      <c r="E12" s="628"/>
      <c r="F12" s="627"/>
      <c r="G12" s="627"/>
      <c r="H12" s="627"/>
      <c r="I12" s="627"/>
      <c r="J12" s="629"/>
      <c r="K12" s="627"/>
      <c r="L12" s="627"/>
      <c r="M12" s="627"/>
      <c r="N12" s="627"/>
      <c r="O12" s="627"/>
      <c r="P12" s="627"/>
      <c r="Q12" s="627"/>
      <c r="R12" s="627"/>
      <c r="S12" s="629"/>
    </row>
    <row r="13" spans="1:19" ht="15">
      <c r="A13" s="8">
        <v>3</v>
      </c>
      <c r="B13" s="19" t="s">
        <v>478</v>
      </c>
      <c r="C13" s="627"/>
      <c r="D13" s="627"/>
      <c r="E13" s="628"/>
      <c r="F13" s="627"/>
      <c r="G13" s="627"/>
      <c r="H13" s="627"/>
      <c r="I13" s="627"/>
      <c r="J13" s="629"/>
      <c r="K13" s="627"/>
      <c r="L13" s="627"/>
      <c r="M13" s="627"/>
      <c r="N13" s="627"/>
      <c r="O13" s="627"/>
      <c r="P13" s="627"/>
      <c r="Q13" s="627"/>
      <c r="R13" s="627"/>
      <c r="S13" s="629"/>
    </row>
    <row r="14" spans="1:19" ht="15">
      <c r="A14" s="8">
        <v>4</v>
      </c>
      <c r="B14" s="19" t="s">
        <v>479</v>
      </c>
      <c r="C14" s="627"/>
      <c r="D14" s="627"/>
      <c r="E14" s="1027" t="s">
        <v>512</v>
      </c>
      <c r="F14" s="1028"/>
      <c r="G14" s="1028"/>
      <c r="H14" s="1028"/>
      <c r="I14" s="1028"/>
      <c r="J14" s="1028"/>
      <c r="K14" s="1028"/>
      <c r="L14" s="1028"/>
      <c r="M14" s="1028"/>
      <c r="N14" s="1028"/>
      <c r="O14" s="1029"/>
      <c r="P14" s="627"/>
      <c r="Q14" s="627"/>
      <c r="R14" s="627"/>
      <c r="S14" s="629"/>
    </row>
    <row r="15" spans="1:45" s="83" customFormat="1" ht="15">
      <c r="A15" s="8">
        <v>5</v>
      </c>
      <c r="B15" s="19" t="s">
        <v>480</v>
      </c>
      <c r="C15" s="627"/>
      <c r="D15" s="627"/>
      <c r="E15" s="1030"/>
      <c r="F15" s="1031"/>
      <c r="G15" s="1031"/>
      <c r="H15" s="1031"/>
      <c r="I15" s="1031"/>
      <c r="J15" s="1031"/>
      <c r="K15" s="1031"/>
      <c r="L15" s="1031"/>
      <c r="M15" s="1031"/>
      <c r="N15" s="1031"/>
      <c r="O15" s="1032"/>
      <c r="P15" s="627"/>
      <c r="Q15" s="627"/>
      <c r="R15" s="627"/>
      <c r="S15" s="629"/>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row>
    <row r="16" spans="1:19" s="84" customFormat="1" ht="15">
      <c r="A16" s="8">
        <v>6</v>
      </c>
      <c r="B16" s="19" t="s">
        <v>481</v>
      </c>
      <c r="C16" s="627"/>
      <c r="D16" s="627"/>
      <c r="E16" s="628"/>
      <c r="F16" s="627"/>
      <c r="G16" s="627"/>
      <c r="H16" s="627"/>
      <c r="I16" s="627"/>
      <c r="J16" s="629"/>
      <c r="K16" s="627"/>
      <c r="L16" s="627"/>
      <c r="M16" s="627"/>
      <c r="N16" s="627"/>
      <c r="O16" s="627"/>
      <c r="P16" s="627"/>
      <c r="Q16" s="627"/>
      <c r="R16" s="627"/>
      <c r="S16" s="629"/>
    </row>
    <row r="17" spans="1:19" s="84" customFormat="1" ht="15">
      <c r="A17" s="8">
        <v>7</v>
      </c>
      <c r="B17" s="19" t="s">
        <v>482</v>
      </c>
      <c r="C17" s="627"/>
      <c r="D17" s="627"/>
      <c r="E17" s="628"/>
      <c r="F17" s="627"/>
      <c r="G17" s="627"/>
      <c r="H17" s="627"/>
      <c r="I17" s="627"/>
      <c r="J17" s="629"/>
      <c r="K17" s="627"/>
      <c r="L17" s="627"/>
      <c r="M17" s="627"/>
      <c r="N17" s="627"/>
      <c r="O17" s="627"/>
      <c r="P17" s="627"/>
      <c r="Q17" s="627"/>
      <c r="R17" s="627"/>
      <c r="S17" s="629"/>
    </row>
    <row r="18" spans="1:19" ht="15">
      <c r="A18" s="8">
        <v>8</v>
      </c>
      <c r="B18" s="19" t="s">
        <v>483</v>
      </c>
      <c r="C18" s="627"/>
      <c r="D18" s="627"/>
      <c r="E18" s="628"/>
      <c r="F18" s="627"/>
      <c r="G18" s="627"/>
      <c r="H18" s="627"/>
      <c r="I18" s="627"/>
      <c r="J18" s="629"/>
      <c r="K18" s="627"/>
      <c r="L18" s="627"/>
      <c r="M18" s="627"/>
      <c r="N18" s="627"/>
      <c r="O18" s="627"/>
      <c r="P18" s="627"/>
      <c r="Q18" s="627"/>
      <c r="R18" s="627"/>
      <c r="S18" s="629"/>
    </row>
    <row r="19" spans="1:19" ht="15">
      <c r="A19" s="3"/>
      <c r="B19" s="27" t="s">
        <v>484</v>
      </c>
      <c r="C19" s="627"/>
      <c r="D19" s="627"/>
      <c r="E19" s="627"/>
      <c r="F19" s="627"/>
      <c r="G19" s="627"/>
      <c r="H19" s="627"/>
      <c r="I19" s="627"/>
      <c r="J19" s="629"/>
      <c r="K19" s="627"/>
      <c r="L19" s="627"/>
      <c r="M19" s="627"/>
      <c r="N19" s="627"/>
      <c r="O19" s="627"/>
      <c r="P19" s="627"/>
      <c r="Q19" s="627"/>
      <c r="R19" s="627"/>
      <c r="S19" s="629"/>
    </row>
    <row r="20" ht="15">
      <c r="A20" s="420" t="s">
        <v>639</v>
      </c>
    </row>
    <row r="21" spans="1:16" ht="15">
      <c r="A21" s="530"/>
      <c r="B21" s="530"/>
      <c r="C21" s="530"/>
      <c r="D21" s="530"/>
      <c r="E21" s="530"/>
      <c r="F21" s="530"/>
      <c r="G21" s="530"/>
      <c r="H21" s="530"/>
      <c r="I21" s="530"/>
      <c r="J21" s="530"/>
      <c r="K21" s="530"/>
      <c r="L21" s="530"/>
      <c r="M21" s="530"/>
      <c r="N21" s="530"/>
      <c r="O21" s="530"/>
      <c r="P21" s="530"/>
    </row>
    <row r="23" spans="1:19" s="16" customFormat="1" ht="12.75" customHeight="1">
      <c r="A23" s="15" t="s">
        <v>11</v>
      </c>
      <c r="G23" s="15"/>
      <c r="H23" s="15"/>
      <c r="K23" s="15"/>
      <c r="L23" s="15"/>
      <c r="M23" s="15"/>
      <c r="N23" s="15"/>
      <c r="O23" s="15"/>
      <c r="P23" s="991"/>
      <c r="Q23" s="991"/>
      <c r="R23" s="991"/>
      <c r="S23" s="991"/>
    </row>
    <row r="24" spans="8:19" s="16" customFormat="1" ht="12.75" customHeight="1">
      <c r="H24" s="16" t="s">
        <v>10</v>
      </c>
      <c r="J24" s="15"/>
      <c r="L24" s="31"/>
      <c r="M24" s="31"/>
      <c r="N24" s="31"/>
      <c r="O24" s="31"/>
      <c r="P24" s="992" t="s">
        <v>819</v>
      </c>
      <c r="Q24" s="992"/>
      <c r="R24" s="992"/>
      <c r="S24" s="992"/>
    </row>
    <row r="25" spans="11:19" s="16" customFormat="1" ht="12.75" customHeight="1">
      <c r="K25" s="31"/>
      <c r="L25" s="31"/>
      <c r="M25" s="31"/>
      <c r="N25" s="31"/>
      <c r="O25" s="31"/>
      <c r="P25" s="992" t="s">
        <v>487</v>
      </c>
      <c r="Q25" s="992"/>
      <c r="R25" s="992"/>
      <c r="S25" s="992"/>
    </row>
    <row r="26" spans="1:19" s="16" customFormat="1" ht="12.75">
      <c r="A26" s="15"/>
      <c r="B26" s="15"/>
      <c r="K26" s="15"/>
      <c r="L26" s="15"/>
      <c r="M26" s="15"/>
      <c r="N26" s="15"/>
      <c r="O26" s="15"/>
      <c r="P26" s="244"/>
      <c r="Q26" s="414" t="s">
        <v>80</v>
      </c>
      <c r="R26" s="414"/>
      <c r="S26" s="415"/>
    </row>
  </sheetData>
  <sheetProtection/>
  <mergeCells count="15">
    <mergeCell ref="P25:S25"/>
    <mergeCell ref="E14:O15"/>
    <mergeCell ref="P1:S1"/>
    <mergeCell ref="B4:T4"/>
    <mergeCell ref="G2:M2"/>
    <mergeCell ref="B8:B9"/>
    <mergeCell ref="C8:F8"/>
    <mergeCell ref="G8:J8"/>
    <mergeCell ref="K8:N8"/>
    <mergeCell ref="S8:S9"/>
    <mergeCell ref="O8:R8"/>
    <mergeCell ref="A6:B6"/>
    <mergeCell ref="A8:A9"/>
    <mergeCell ref="P23:S23"/>
    <mergeCell ref="P24:S24"/>
  </mergeCells>
  <printOptions horizontalCentered="1"/>
  <pageMargins left="0.55" right="0.24" top="1.21" bottom="0" header="1" footer="0.31496062992125984"/>
  <pageSetup fitToHeight="1" fitToWidth="1" horizontalDpi="600" verticalDpi="600" orientation="landscape" paperSize="9" scale="69" r:id="rId1"/>
</worksheet>
</file>

<file path=xl/worksheets/sheet64.xml><?xml version="1.0" encoding="utf-8"?>
<worksheet xmlns="http://schemas.openxmlformats.org/spreadsheetml/2006/main" xmlns:r="http://schemas.openxmlformats.org/officeDocument/2006/relationships">
  <dimension ref="A1:J27"/>
  <sheetViews>
    <sheetView zoomScalePageLayoutView="0" workbookViewId="0" topLeftCell="A1">
      <selection activeCell="B9" sqref="B9:B10"/>
    </sheetView>
  </sheetViews>
  <sheetFormatPr defaultColWidth="9.140625" defaultRowHeight="12.75"/>
  <cols>
    <col min="1" max="1" width="8.00390625" style="78" customWidth="1"/>
    <col min="2" max="2" width="22.7109375" style="78" customWidth="1"/>
    <col min="3" max="3" width="25.140625" style="78" customWidth="1"/>
    <col min="4" max="4" width="33.57421875" style="78" customWidth="1"/>
    <col min="5" max="5" width="18.140625" style="78" customWidth="1"/>
    <col min="6" max="6" width="15.421875" style="78" customWidth="1"/>
    <col min="7" max="7" width="15.7109375" style="78" customWidth="1"/>
    <col min="8" max="8" width="12.28125" style="78" customWidth="1"/>
    <col min="9" max="16384" width="9.140625" style="78" customWidth="1"/>
  </cols>
  <sheetData>
    <row r="1" spans="3:7" s="16" customFormat="1" ht="15">
      <c r="C1" s="46"/>
      <c r="D1" s="46"/>
      <c r="E1" s="46"/>
      <c r="F1" s="744" t="s">
        <v>880</v>
      </c>
      <c r="G1" s="744"/>
    </row>
    <row r="2" spans="1:7" s="16" customFormat="1" ht="12.75">
      <c r="A2" s="697" t="s">
        <v>0</v>
      </c>
      <c r="B2" s="697"/>
      <c r="C2" s="697"/>
      <c r="D2" s="697"/>
      <c r="E2" s="697"/>
      <c r="F2" s="697"/>
      <c r="G2" s="697"/>
    </row>
    <row r="3" spans="1:9" s="16" customFormat="1" ht="20.25">
      <c r="A3" s="645" t="s">
        <v>854</v>
      </c>
      <c r="B3" s="645"/>
      <c r="C3" s="645"/>
      <c r="D3" s="645"/>
      <c r="E3" s="645"/>
      <c r="F3" s="645"/>
      <c r="G3" s="645"/>
      <c r="H3" s="45"/>
      <c r="I3" s="45"/>
    </row>
    <row r="4" s="16" customFormat="1" ht="7.5" customHeight="1">
      <c r="G4" s="123"/>
    </row>
    <row r="5" spans="1:8" ht="18">
      <c r="A5" s="1036" t="s">
        <v>881</v>
      </c>
      <c r="B5" s="1036"/>
      <c r="C5" s="1036"/>
      <c r="D5" s="1036"/>
      <c r="E5" s="1036"/>
      <c r="F5" s="1036"/>
      <c r="G5" s="1036"/>
      <c r="H5" s="567"/>
    </row>
    <row r="6" spans="3:8" ht="15.75">
      <c r="C6" s="79"/>
      <c r="D6" s="80"/>
      <c r="E6" s="79"/>
      <c r="F6" s="79"/>
      <c r="G6" s="79"/>
      <c r="H6" s="79"/>
    </row>
    <row r="7" ht="15">
      <c r="A7" s="560" t="s">
        <v>979</v>
      </c>
    </row>
    <row r="8" ht="15">
      <c r="B8" s="561"/>
    </row>
    <row r="9" spans="1:7" s="82" customFormat="1" ht="30.75" customHeight="1">
      <c r="A9" s="973" t="s">
        <v>2</v>
      </c>
      <c r="B9" s="1033" t="s">
        <v>3</v>
      </c>
      <c r="C9" s="1033" t="s">
        <v>882</v>
      </c>
      <c r="D9" s="1034" t="s">
        <v>883</v>
      </c>
      <c r="E9" s="1033" t="s">
        <v>884</v>
      </c>
      <c r="F9" s="1033"/>
      <c r="G9" s="1033"/>
    </row>
    <row r="10" spans="1:7" s="82" customFormat="1" ht="36.75" customHeight="1">
      <c r="A10" s="973"/>
      <c r="B10" s="1033"/>
      <c r="C10" s="1033"/>
      <c r="D10" s="1035"/>
      <c r="E10" s="304" t="s">
        <v>885</v>
      </c>
      <c r="F10" s="304" t="s">
        <v>886</v>
      </c>
      <c r="G10" s="304" t="s">
        <v>15</v>
      </c>
    </row>
    <row r="11" spans="1:7" s="82" customFormat="1" ht="15.75" customHeight="1">
      <c r="A11" s="140">
        <v>1</v>
      </c>
      <c r="B11" s="595">
        <v>2</v>
      </c>
      <c r="C11" s="595">
        <v>3</v>
      </c>
      <c r="D11" s="595">
        <v>4</v>
      </c>
      <c r="E11" s="596">
        <v>5</v>
      </c>
      <c r="F11" s="596">
        <v>6</v>
      </c>
      <c r="G11" s="596">
        <v>7</v>
      </c>
    </row>
    <row r="12" spans="1:10" s="82" customFormat="1" ht="15.75" customHeight="1">
      <c r="A12" s="58">
        <v>1</v>
      </c>
      <c r="B12" s="53" t="s">
        <v>476</v>
      </c>
      <c r="C12" s="594">
        <v>264</v>
      </c>
      <c r="D12" s="594">
        <f>C12</f>
        <v>264</v>
      </c>
      <c r="E12" s="597">
        <f>D12*9000/100000</f>
        <v>23.76</v>
      </c>
      <c r="F12" s="597">
        <f>D12*1000/100000</f>
        <v>2.64</v>
      </c>
      <c r="G12" s="597">
        <f>E12+F12</f>
        <v>26.400000000000002</v>
      </c>
      <c r="J12" s="593"/>
    </row>
    <row r="13" spans="1:10" s="82" customFormat="1" ht="15.75" customHeight="1">
      <c r="A13" s="58">
        <v>2</v>
      </c>
      <c r="B13" s="53" t="s">
        <v>477</v>
      </c>
      <c r="C13" s="594">
        <v>252</v>
      </c>
      <c r="D13" s="594">
        <f aca="true" t="shared" si="0" ref="D13:D19">C13</f>
        <v>252</v>
      </c>
      <c r="E13" s="597">
        <f aca="true" t="shared" si="1" ref="E13:E19">D13*9000/100000</f>
        <v>22.68</v>
      </c>
      <c r="F13" s="597">
        <f aca="true" t="shared" si="2" ref="F13:F19">D13*1000/100000</f>
        <v>2.52</v>
      </c>
      <c r="G13" s="597">
        <f aca="true" t="shared" si="3" ref="G13:G19">E13+F13</f>
        <v>25.2</v>
      </c>
      <c r="J13" s="593"/>
    </row>
    <row r="14" spans="1:10" s="82" customFormat="1" ht="15.75" customHeight="1">
      <c r="A14" s="58">
        <v>3</v>
      </c>
      <c r="B14" s="53" t="s">
        <v>478</v>
      </c>
      <c r="C14" s="594">
        <v>193</v>
      </c>
      <c r="D14" s="594">
        <f t="shared" si="0"/>
        <v>193</v>
      </c>
      <c r="E14" s="597">
        <f t="shared" si="1"/>
        <v>17.37</v>
      </c>
      <c r="F14" s="597">
        <f t="shared" si="2"/>
        <v>1.93</v>
      </c>
      <c r="G14" s="597">
        <f t="shared" si="3"/>
        <v>19.3</v>
      </c>
      <c r="J14" s="593"/>
    </row>
    <row r="15" spans="1:10" s="82" customFormat="1" ht="15.75" customHeight="1">
      <c r="A15" s="58">
        <v>4</v>
      </c>
      <c r="B15" s="53" t="s">
        <v>479</v>
      </c>
      <c r="C15" s="594">
        <v>233</v>
      </c>
      <c r="D15" s="594">
        <f t="shared" si="0"/>
        <v>233</v>
      </c>
      <c r="E15" s="597">
        <f t="shared" si="1"/>
        <v>20.97</v>
      </c>
      <c r="F15" s="597">
        <f t="shared" si="2"/>
        <v>2.33</v>
      </c>
      <c r="G15" s="597">
        <f t="shared" si="3"/>
        <v>23.299999999999997</v>
      </c>
      <c r="J15" s="593"/>
    </row>
    <row r="16" spans="1:10" s="82" customFormat="1" ht="15.75" customHeight="1">
      <c r="A16" s="58">
        <v>5</v>
      </c>
      <c r="B16" s="53" t="s">
        <v>480</v>
      </c>
      <c r="C16" s="594">
        <v>267</v>
      </c>
      <c r="D16" s="594">
        <f t="shared" si="0"/>
        <v>267</v>
      </c>
      <c r="E16" s="597">
        <f t="shared" si="1"/>
        <v>24.03</v>
      </c>
      <c r="F16" s="597">
        <f t="shared" si="2"/>
        <v>2.67</v>
      </c>
      <c r="G16" s="597">
        <f t="shared" si="3"/>
        <v>26.700000000000003</v>
      </c>
      <c r="J16" s="593"/>
    </row>
    <row r="17" spans="1:10" s="82" customFormat="1" ht="15.75" customHeight="1">
      <c r="A17" s="58">
        <v>6</v>
      </c>
      <c r="B17" s="53" t="s">
        <v>481</v>
      </c>
      <c r="C17" s="594">
        <v>137</v>
      </c>
      <c r="D17" s="594">
        <f t="shared" si="0"/>
        <v>137</v>
      </c>
      <c r="E17" s="597">
        <f t="shared" si="1"/>
        <v>12.33</v>
      </c>
      <c r="F17" s="597">
        <f t="shared" si="2"/>
        <v>1.37</v>
      </c>
      <c r="G17" s="597">
        <f t="shared" si="3"/>
        <v>13.7</v>
      </c>
      <c r="J17" s="593"/>
    </row>
    <row r="18" spans="1:10" s="82" customFormat="1" ht="15.75" customHeight="1">
      <c r="A18" s="58">
        <v>7</v>
      </c>
      <c r="B18" s="53" t="s">
        <v>482</v>
      </c>
      <c r="C18" s="594">
        <v>207</v>
      </c>
      <c r="D18" s="594">
        <f t="shared" si="0"/>
        <v>207</v>
      </c>
      <c r="E18" s="597">
        <f t="shared" si="1"/>
        <v>18.63</v>
      </c>
      <c r="F18" s="597">
        <f t="shared" si="2"/>
        <v>2.07</v>
      </c>
      <c r="G18" s="597">
        <f t="shared" si="3"/>
        <v>20.7</v>
      </c>
      <c r="J18" s="593"/>
    </row>
    <row r="19" spans="1:10" ht="15">
      <c r="A19" s="58">
        <v>8</v>
      </c>
      <c r="B19" s="53" t="s">
        <v>483</v>
      </c>
      <c r="C19" s="594">
        <v>329</v>
      </c>
      <c r="D19" s="594">
        <f t="shared" si="0"/>
        <v>329</v>
      </c>
      <c r="E19" s="597">
        <f t="shared" si="1"/>
        <v>29.61</v>
      </c>
      <c r="F19" s="597">
        <f t="shared" si="2"/>
        <v>3.29</v>
      </c>
      <c r="G19" s="597">
        <f t="shared" si="3"/>
        <v>32.9</v>
      </c>
      <c r="I19" s="82"/>
      <c r="J19" s="593"/>
    </row>
    <row r="20" spans="1:9" ht="15">
      <c r="A20" s="52"/>
      <c r="B20" s="571" t="s">
        <v>484</v>
      </c>
      <c r="C20" s="630">
        <f>SUM(C12:C19)</f>
        <v>1882</v>
      </c>
      <c r="D20" s="630">
        <f>SUM(D12:D19)</f>
        <v>1882</v>
      </c>
      <c r="E20" s="631">
        <f>SUM(E12:E19)</f>
        <v>169.38</v>
      </c>
      <c r="F20" s="631">
        <f>SUM(F12:F19)</f>
        <v>18.82</v>
      </c>
      <c r="G20" s="598">
        <f>SUM(G12:G19)</f>
        <v>188.2</v>
      </c>
      <c r="I20" s="82"/>
    </row>
    <row r="21" spans="1:7" ht="15">
      <c r="A21" s="420"/>
      <c r="B21" s="84"/>
      <c r="C21" s="84"/>
      <c r="D21" s="84"/>
      <c r="E21" s="84"/>
      <c r="F21" s="84"/>
      <c r="G21" s="84"/>
    </row>
    <row r="22" spans="1:7" s="16" customFormat="1" ht="12.75" customHeight="1">
      <c r="A22" s="15" t="s">
        <v>11</v>
      </c>
      <c r="E22" s="16" t="s">
        <v>10</v>
      </c>
      <c r="G22" s="15"/>
    </row>
    <row r="23" spans="1:2" s="16" customFormat="1" ht="12.75">
      <c r="A23" s="15"/>
      <c r="B23" s="15"/>
    </row>
    <row r="24" spans="6:7" ht="15">
      <c r="F24" s="86"/>
      <c r="G24" s="86"/>
    </row>
    <row r="25" spans="1:10" ht="15">
      <c r="A25" s="15"/>
      <c r="C25" s="31"/>
      <c r="D25" s="31"/>
      <c r="E25" s="992" t="s">
        <v>819</v>
      </c>
      <c r="F25" s="992"/>
      <c r="G25" s="992"/>
      <c r="H25" s="992"/>
      <c r="I25" s="31"/>
      <c r="J25" s="31"/>
    </row>
    <row r="26" spans="2:10" ht="15">
      <c r="B26" s="31"/>
      <c r="C26" s="31"/>
      <c r="D26" s="31"/>
      <c r="E26" s="992" t="s">
        <v>487</v>
      </c>
      <c r="F26" s="992"/>
      <c r="G26" s="992"/>
      <c r="H26" s="992"/>
      <c r="I26" s="31"/>
      <c r="J26" s="31"/>
    </row>
    <row r="27" spans="1:8" ht="15">
      <c r="A27" s="16"/>
      <c r="B27" s="15"/>
      <c r="C27" s="15"/>
      <c r="D27" s="15"/>
      <c r="E27" s="244"/>
      <c r="F27" s="414" t="s">
        <v>80</v>
      </c>
      <c r="G27" s="414"/>
      <c r="H27" s="415"/>
    </row>
  </sheetData>
  <sheetProtection/>
  <mergeCells count="11">
    <mergeCell ref="E25:H25"/>
    <mergeCell ref="E26:H26"/>
    <mergeCell ref="F1:G1"/>
    <mergeCell ref="A9:A10"/>
    <mergeCell ref="B9:B10"/>
    <mergeCell ref="C9:C10"/>
    <mergeCell ref="D9:D10"/>
    <mergeCell ref="E9:G9"/>
    <mergeCell ref="A2:G2"/>
    <mergeCell ref="A3:G3"/>
    <mergeCell ref="A5:G5"/>
  </mergeCells>
  <printOptions/>
  <pageMargins left="0.7" right="0.21" top="0.75" bottom="0.75" header="0.3" footer="0.3"/>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sheetPr>
    <pageSetUpPr fitToPage="1"/>
  </sheetPr>
  <dimension ref="A1:AU40"/>
  <sheetViews>
    <sheetView view="pageBreakPreview" zoomScale="80" zoomScaleSheetLayoutView="80" zoomScalePageLayoutView="0" workbookViewId="0" topLeftCell="B1">
      <selection activeCell="G16" sqref="G16:R17"/>
    </sheetView>
  </sheetViews>
  <sheetFormatPr defaultColWidth="9.140625" defaultRowHeight="12.75"/>
  <cols>
    <col min="1" max="1" width="7.00390625" style="78" customWidth="1"/>
    <col min="2" max="2" width="12.8515625" style="78" customWidth="1"/>
    <col min="3" max="3" width="10.7109375" style="78" customWidth="1"/>
    <col min="4" max="6" width="11.140625" style="78" customWidth="1"/>
    <col min="7" max="7" width="10.00390625" style="78" customWidth="1"/>
    <col min="8" max="10" width="10.57421875" style="78" customWidth="1"/>
    <col min="11" max="11" width="10.8515625" style="78" customWidth="1"/>
    <col min="12" max="14" width="11.28125" style="78" customWidth="1"/>
    <col min="15" max="15" width="11.00390625" style="78" customWidth="1"/>
    <col min="16" max="18" width="11.140625" style="78" customWidth="1"/>
    <col min="19" max="19" width="10.00390625" style="78" customWidth="1"/>
    <col min="20" max="22" width="11.28125" style="78" customWidth="1"/>
    <col min="23" max="16384" width="9.140625" style="78" customWidth="1"/>
  </cols>
  <sheetData>
    <row r="1" spans="20:22" ht="15.75">
      <c r="T1" s="1047" t="s">
        <v>745</v>
      </c>
      <c r="U1" s="1047"/>
      <c r="V1" s="1047"/>
    </row>
    <row r="2" spans="1:22" s="16" customFormat="1" ht="15.75">
      <c r="A2" s="644" t="s">
        <v>0</v>
      </c>
      <c r="B2" s="644"/>
      <c r="C2" s="644"/>
      <c r="D2" s="644"/>
      <c r="E2" s="644"/>
      <c r="F2" s="644"/>
      <c r="G2" s="644"/>
      <c r="H2" s="644"/>
      <c r="I2" s="644"/>
      <c r="J2" s="644"/>
      <c r="K2" s="644"/>
      <c r="L2" s="644"/>
      <c r="M2" s="644"/>
      <c r="N2" s="644"/>
      <c r="O2" s="644"/>
      <c r="P2" s="644"/>
      <c r="Q2" s="644"/>
      <c r="R2" s="644"/>
      <c r="S2" s="644"/>
      <c r="T2" s="644"/>
      <c r="U2" s="644"/>
      <c r="V2" s="644"/>
    </row>
    <row r="3" spans="1:22" s="16" customFormat="1" ht="20.25">
      <c r="A3" s="645" t="s">
        <v>854</v>
      </c>
      <c r="B3" s="645"/>
      <c r="C3" s="645"/>
      <c r="D3" s="645"/>
      <c r="E3" s="645"/>
      <c r="F3" s="645"/>
      <c r="G3" s="645"/>
      <c r="H3" s="645"/>
      <c r="I3" s="645"/>
      <c r="J3" s="645"/>
      <c r="K3" s="645"/>
      <c r="L3" s="645"/>
      <c r="M3" s="645"/>
      <c r="N3" s="645"/>
      <c r="O3" s="645"/>
      <c r="P3" s="645"/>
      <c r="Q3" s="645"/>
      <c r="R3" s="645"/>
      <c r="S3" s="645"/>
      <c r="T3" s="645"/>
      <c r="U3" s="645"/>
      <c r="V3" s="645"/>
    </row>
    <row r="4" spans="10:22" s="16" customFormat="1" ht="20.25">
      <c r="J4" s="45"/>
      <c r="K4" s="45"/>
      <c r="L4" s="45"/>
      <c r="M4" s="45"/>
      <c r="N4" s="45"/>
      <c r="O4" s="45"/>
      <c r="P4" s="45"/>
      <c r="Q4" s="45"/>
      <c r="R4" s="45"/>
      <c r="S4" s="45"/>
      <c r="T4" s="45"/>
      <c r="U4" s="45"/>
      <c r="V4" s="45"/>
    </row>
    <row r="5" spans="1:22" ht="15.75">
      <c r="A5" s="646" t="s">
        <v>1006</v>
      </c>
      <c r="B5" s="646"/>
      <c r="C5" s="646"/>
      <c r="D5" s="646"/>
      <c r="E5" s="646"/>
      <c r="F5" s="646"/>
      <c r="G5" s="646"/>
      <c r="H5" s="646"/>
      <c r="I5" s="646"/>
      <c r="J5" s="646"/>
      <c r="K5" s="646"/>
      <c r="L5" s="646"/>
      <c r="M5" s="646"/>
      <c r="N5" s="646"/>
      <c r="O5" s="646"/>
      <c r="P5" s="646"/>
      <c r="Q5" s="646"/>
      <c r="R5" s="646"/>
      <c r="S5" s="646"/>
      <c r="T5" s="646"/>
      <c r="U5" s="646"/>
      <c r="V5" s="646"/>
    </row>
    <row r="6" spans="3:22" ht="15">
      <c r="C6" s="79"/>
      <c r="D6" s="79"/>
      <c r="E6" s="79"/>
      <c r="F6" s="79"/>
      <c r="G6" s="79"/>
      <c r="H6" s="79"/>
      <c r="I6" s="79"/>
      <c r="J6" s="79"/>
      <c r="Q6" s="79"/>
      <c r="R6" s="79"/>
      <c r="S6" s="79"/>
      <c r="T6" s="79"/>
      <c r="U6" s="79"/>
      <c r="V6" s="79"/>
    </row>
    <row r="7" spans="1:2" ht="15">
      <c r="A7" s="699" t="s">
        <v>475</v>
      </c>
      <c r="B7" s="699"/>
    </row>
    <row r="8" ht="15">
      <c r="B8" s="561"/>
    </row>
    <row r="9" spans="1:22" s="301" customFormat="1" ht="24.75" customHeight="1">
      <c r="A9" s="653" t="s">
        <v>2</v>
      </c>
      <c r="B9" s="1023" t="s">
        <v>3</v>
      </c>
      <c r="C9" s="1020" t="s">
        <v>889</v>
      </c>
      <c r="D9" s="1021"/>
      <c r="E9" s="1021"/>
      <c r="F9" s="1021"/>
      <c r="G9" s="1020" t="s">
        <v>890</v>
      </c>
      <c r="H9" s="1021"/>
      <c r="I9" s="1021"/>
      <c r="J9" s="1021"/>
      <c r="K9" s="1020" t="s">
        <v>891</v>
      </c>
      <c r="L9" s="1021"/>
      <c r="M9" s="1021"/>
      <c r="N9" s="1021"/>
      <c r="O9" s="1020" t="s">
        <v>892</v>
      </c>
      <c r="P9" s="1021"/>
      <c r="Q9" s="1021"/>
      <c r="R9" s="1021"/>
      <c r="S9" s="1048" t="s">
        <v>15</v>
      </c>
      <c r="T9" s="1049"/>
      <c r="U9" s="1049"/>
      <c r="V9" s="1049"/>
    </row>
    <row r="10" spans="1:22" s="301" customFormat="1" ht="29.25" customHeight="1">
      <c r="A10" s="653"/>
      <c r="B10" s="1023"/>
      <c r="C10" s="1034" t="s">
        <v>893</v>
      </c>
      <c r="D10" s="1038" t="s">
        <v>1005</v>
      </c>
      <c r="E10" s="1039"/>
      <c r="F10" s="1040"/>
      <c r="G10" s="1034" t="s">
        <v>893</v>
      </c>
      <c r="H10" s="1038" t="s">
        <v>1005</v>
      </c>
      <c r="I10" s="1039"/>
      <c r="J10" s="1040"/>
      <c r="K10" s="1034" t="s">
        <v>893</v>
      </c>
      <c r="L10" s="1038" t="s">
        <v>1005</v>
      </c>
      <c r="M10" s="1039"/>
      <c r="N10" s="1040"/>
      <c r="O10" s="1034" t="s">
        <v>893</v>
      </c>
      <c r="P10" s="1038" t="s">
        <v>1005</v>
      </c>
      <c r="Q10" s="1039"/>
      <c r="R10" s="1040"/>
      <c r="S10" s="1034" t="s">
        <v>893</v>
      </c>
      <c r="T10" s="1038" t="s">
        <v>1005</v>
      </c>
      <c r="U10" s="1039"/>
      <c r="V10" s="1040"/>
    </row>
    <row r="11" spans="1:22" s="301" customFormat="1" ht="46.5" customHeight="1">
      <c r="A11" s="653"/>
      <c r="B11" s="1023"/>
      <c r="C11" s="1035"/>
      <c r="D11" s="304" t="s">
        <v>894</v>
      </c>
      <c r="E11" s="304" t="s">
        <v>201</v>
      </c>
      <c r="F11" s="304" t="s">
        <v>15</v>
      </c>
      <c r="G11" s="1035"/>
      <c r="H11" s="304" t="s">
        <v>894</v>
      </c>
      <c r="I11" s="304" t="s">
        <v>201</v>
      </c>
      <c r="J11" s="304" t="s">
        <v>15</v>
      </c>
      <c r="K11" s="1035"/>
      <c r="L11" s="304" t="s">
        <v>894</v>
      </c>
      <c r="M11" s="304" t="s">
        <v>201</v>
      </c>
      <c r="N11" s="304" t="s">
        <v>15</v>
      </c>
      <c r="O11" s="1035"/>
      <c r="P11" s="304" t="s">
        <v>894</v>
      </c>
      <c r="Q11" s="304" t="s">
        <v>201</v>
      </c>
      <c r="R11" s="304" t="s">
        <v>15</v>
      </c>
      <c r="S11" s="1035"/>
      <c r="T11" s="304" t="s">
        <v>894</v>
      </c>
      <c r="U11" s="304" t="s">
        <v>201</v>
      </c>
      <c r="V11" s="304" t="s">
        <v>15</v>
      </c>
    </row>
    <row r="12" spans="1:22" s="144" customFormat="1" ht="15.75" customHeight="1">
      <c r="A12" s="564">
        <v>1</v>
      </c>
      <c r="B12" s="143">
        <v>2</v>
      </c>
      <c r="C12" s="143">
        <v>3</v>
      </c>
      <c r="D12" s="564">
        <v>4</v>
      </c>
      <c r="E12" s="143">
        <v>5</v>
      </c>
      <c r="F12" s="143">
        <v>6</v>
      </c>
      <c r="G12" s="564">
        <v>7</v>
      </c>
      <c r="H12" s="143">
        <v>8</v>
      </c>
      <c r="I12" s="143">
        <v>9</v>
      </c>
      <c r="J12" s="564">
        <v>10</v>
      </c>
      <c r="K12" s="143">
        <v>11</v>
      </c>
      <c r="L12" s="143">
        <v>12</v>
      </c>
      <c r="M12" s="564">
        <v>13</v>
      </c>
      <c r="N12" s="143">
        <v>14</v>
      </c>
      <c r="O12" s="143">
        <v>15</v>
      </c>
      <c r="P12" s="564">
        <v>16</v>
      </c>
      <c r="Q12" s="143">
        <v>17</v>
      </c>
      <c r="R12" s="143">
        <v>18</v>
      </c>
      <c r="S12" s="564">
        <v>19</v>
      </c>
      <c r="T12" s="143">
        <v>20</v>
      </c>
      <c r="U12" s="143">
        <v>21</v>
      </c>
      <c r="V12" s="564">
        <v>22</v>
      </c>
    </row>
    <row r="13" spans="1:24" ht="20.25" customHeight="1">
      <c r="A13" s="8">
        <v>1</v>
      </c>
      <c r="B13" s="53" t="s">
        <v>476</v>
      </c>
      <c r="C13" s="53"/>
      <c r="D13" s="570"/>
      <c r="E13" s="570"/>
      <c r="F13" s="570"/>
      <c r="G13" s="53"/>
      <c r="H13" s="570"/>
      <c r="I13" s="570"/>
      <c r="J13" s="570"/>
      <c r="K13" s="53"/>
      <c r="L13" s="570"/>
      <c r="M13" s="570"/>
      <c r="N13" s="570"/>
      <c r="O13" s="53"/>
      <c r="P13" s="570"/>
      <c r="Q13" s="570"/>
      <c r="R13" s="570"/>
      <c r="S13" s="571"/>
      <c r="T13" s="572"/>
      <c r="U13" s="572"/>
      <c r="V13" s="572"/>
      <c r="W13" s="512"/>
      <c r="X13" s="512"/>
    </row>
    <row r="14" spans="1:24" ht="20.25" customHeight="1">
      <c r="A14" s="8">
        <v>2</v>
      </c>
      <c r="B14" s="53" t="s">
        <v>477</v>
      </c>
      <c r="C14" s="53"/>
      <c r="D14" s="570"/>
      <c r="E14" s="570"/>
      <c r="F14" s="570"/>
      <c r="G14" s="53"/>
      <c r="H14" s="570"/>
      <c r="I14" s="570"/>
      <c r="J14" s="570"/>
      <c r="K14" s="53"/>
      <c r="L14" s="570"/>
      <c r="M14" s="570"/>
      <c r="N14" s="570"/>
      <c r="O14" s="53"/>
      <c r="P14" s="570"/>
      <c r="Q14" s="570"/>
      <c r="R14" s="570"/>
      <c r="S14" s="571"/>
      <c r="T14" s="572"/>
      <c r="U14" s="572"/>
      <c r="V14" s="572"/>
      <c r="W14" s="512"/>
      <c r="X14" s="512"/>
    </row>
    <row r="15" spans="1:24" ht="20.25" customHeight="1">
      <c r="A15" s="8">
        <v>3</v>
      </c>
      <c r="B15" s="53" t="s">
        <v>478</v>
      </c>
      <c r="C15" s="53"/>
      <c r="D15" s="570"/>
      <c r="E15" s="570"/>
      <c r="F15" s="570"/>
      <c r="G15" s="53"/>
      <c r="H15" s="570"/>
      <c r="I15" s="570"/>
      <c r="J15" s="570"/>
      <c r="K15" s="53"/>
      <c r="L15" s="570"/>
      <c r="M15" s="570"/>
      <c r="N15" s="570"/>
      <c r="O15" s="53"/>
      <c r="P15" s="570"/>
      <c r="Q15" s="570"/>
      <c r="R15" s="570"/>
      <c r="S15" s="571"/>
      <c r="T15" s="572"/>
      <c r="U15" s="572"/>
      <c r="V15" s="572"/>
      <c r="W15" s="512"/>
      <c r="X15" s="512"/>
    </row>
    <row r="16" spans="1:24" ht="20.25" customHeight="1">
      <c r="A16" s="8">
        <v>4</v>
      </c>
      <c r="B16" s="53" t="s">
        <v>479</v>
      </c>
      <c r="C16" s="53"/>
      <c r="D16" s="570"/>
      <c r="E16" s="570"/>
      <c r="F16" s="570"/>
      <c r="G16" s="1041" t="s">
        <v>512</v>
      </c>
      <c r="H16" s="1042"/>
      <c r="I16" s="1042"/>
      <c r="J16" s="1042"/>
      <c r="K16" s="1042"/>
      <c r="L16" s="1042"/>
      <c r="M16" s="1042"/>
      <c r="N16" s="1042"/>
      <c r="O16" s="1042"/>
      <c r="P16" s="1042"/>
      <c r="Q16" s="1042"/>
      <c r="R16" s="1043"/>
      <c r="S16" s="571"/>
      <c r="T16" s="572"/>
      <c r="U16" s="572"/>
      <c r="V16" s="572"/>
      <c r="W16" s="512"/>
      <c r="X16" s="512"/>
    </row>
    <row r="17" spans="1:47" s="83" customFormat="1" ht="20.25" customHeight="1">
      <c r="A17" s="8">
        <v>5</v>
      </c>
      <c r="B17" s="53" t="s">
        <v>480</v>
      </c>
      <c r="C17" s="53"/>
      <c r="D17" s="570"/>
      <c r="E17" s="570"/>
      <c r="F17" s="570"/>
      <c r="G17" s="1044"/>
      <c r="H17" s="1045"/>
      <c r="I17" s="1045"/>
      <c r="J17" s="1045"/>
      <c r="K17" s="1045"/>
      <c r="L17" s="1045"/>
      <c r="M17" s="1045"/>
      <c r="N17" s="1045"/>
      <c r="O17" s="1045"/>
      <c r="P17" s="1045"/>
      <c r="Q17" s="1045"/>
      <c r="R17" s="1046"/>
      <c r="S17" s="571"/>
      <c r="T17" s="572"/>
      <c r="U17" s="572"/>
      <c r="V17" s="572"/>
      <c r="W17" s="512"/>
      <c r="X17" s="512"/>
      <c r="Y17" s="84"/>
      <c r="Z17" s="84"/>
      <c r="AA17" s="84"/>
      <c r="AB17" s="84"/>
      <c r="AC17" s="84"/>
      <c r="AD17" s="84"/>
      <c r="AE17" s="84"/>
      <c r="AF17" s="84"/>
      <c r="AG17" s="84"/>
      <c r="AH17" s="84"/>
      <c r="AI17" s="84"/>
      <c r="AJ17" s="84"/>
      <c r="AK17" s="84"/>
      <c r="AL17" s="84"/>
      <c r="AM17" s="84"/>
      <c r="AN17" s="84"/>
      <c r="AO17" s="84"/>
      <c r="AP17" s="84"/>
      <c r="AQ17" s="84"/>
      <c r="AR17" s="84"/>
      <c r="AS17" s="84"/>
      <c r="AT17" s="84"/>
      <c r="AU17" s="84"/>
    </row>
    <row r="18" spans="1:24" s="84" customFormat="1" ht="20.25" customHeight="1">
      <c r="A18" s="8">
        <v>6</v>
      </c>
      <c r="B18" s="53" t="s">
        <v>481</v>
      </c>
      <c r="C18" s="53"/>
      <c r="D18" s="570"/>
      <c r="E18" s="570"/>
      <c r="F18" s="570"/>
      <c r="G18" s="53"/>
      <c r="H18" s="570"/>
      <c r="I18" s="570"/>
      <c r="J18" s="570"/>
      <c r="K18" s="53"/>
      <c r="L18" s="570"/>
      <c r="M18" s="570"/>
      <c r="N18" s="570"/>
      <c r="O18" s="53"/>
      <c r="P18" s="570"/>
      <c r="Q18" s="570"/>
      <c r="R18" s="570"/>
      <c r="S18" s="571"/>
      <c r="T18" s="572"/>
      <c r="U18" s="572"/>
      <c r="V18" s="572"/>
      <c r="W18" s="512"/>
      <c r="X18" s="512"/>
    </row>
    <row r="19" spans="1:24" s="84" customFormat="1" ht="20.25" customHeight="1">
      <c r="A19" s="8">
        <v>7</v>
      </c>
      <c r="B19" s="53" t="s">
        <v>482</v>
      </c>
      <c r="C19" s="53"/>
      <c r="D19" s="570"/>
      <c r="E19" s="570"/>
      <c r="F19" s="570"/>
      <c r="G19" s="53"/>
      <c r="H19" s="570"/>
      <c r="I19" s="570"/>
      <c r="J19" s="570"/>
      <c r="K19" s="53"/>
      <c r="L19" s="570"/>
      <c r="M19" s="570"/>
      <c r="N19" s="570"/>
      <c r="O19" s="53"/>
      <c r="P19" s="570"/>
      <c r="Q19" s="570"/>
      <c r="R19" s="570"/>
      <c r="S19" s="571"/>
      <c r="T19" s="572"/>
      <c r="U19" s="572"/>
      <c r="V19" s="572"/>
      <c r="W19" s="512"/>
      <c r="X19" s="512"/>
    </row>
    <row r="20" spans="1:24" s="84" customFormat="1" ht="20.25" customHeight="1">
      <c r="A20" s="8">
        <v>8</v>
      </c>
      <c r="B20" s="53" t="s">
        <v>483</v>
      </c>
      <c r="C20" s="53"/>
      <c r="D20" s="570"/>
      <c r="E20" s="570"/>
      <c r="F20" s="570"/>
      <c r="G20" s="53"/>
      <c r="H20" s="570"/>
      <c r="I20" s="570"/>
      <c r="J20" s="570"/>
      <c r="K20" s="53"/>
      <c r="L20" s="570"/>
      <c r="M20" s="570"/>
      <c r="N20" s="570"/>
      <c r="O20" s="53"/>
      <c r="P20" s="570"/>
      <c r="Q20" s="570"/>
      <c r="R20" s="570"/>
      <c r="S20" s="571"/>
      <c r="T20" s="572"/>
      <c r="U20" s="572"/>
      <c r="V20" s="572"/>
      <c r="W20" s="512"/>
      <c r="X20" s="512"/>
    </row>
    <row r="21" spans="1:22" ht="20.25" customHeight="1">
      <c r="A21" s="3"/>
      <c r="B21" s="53" t="s">
        <v>484</v>
      </c>
      <c r="C21" s="571"/>
      <c r="D21" s="572"/>
      <c r="E21" s="572"/>
      <c r="F21" s="572"/>
      <c r="G21" s="571"/>
      <c r="H21" s="572"/>
      <c r="I21" s="572"/>
      <c r="J21" s="572"/>
      <c r="K21" s="571"/>
      <c r="L21" s="572"/>
      <c r="M21" s="572"/>
      <c r="N21" s="572"/>
      <c r="O21" s="571"/>
      <c r="P21" s="572"/>
      <c r="Q21" s="572"/>
      <c r="R21" s="572"/>
      <c r="S21" s="571"/>
      <c r="T21" s="572"/>
      <c r="U21" s="572"/>
      <c r="V21" s="572"/>
    </row>
    <row r="23" spans="2:21" ht="15">
      <c r="B23" s="499"/>
      <c r="S23" s="78" t="s">
        <v>10</v>
      </c>
      <c r="U23" s="493" t="s">
        <v>10</v>
      </c>
    </row>
    <row r="24" ht="15">
      <c r="B24" s="499"/>
    </row>
    <row r="25" ht="15">
      <c r="B25" s="499"/>
    </row>
    <row r="26" spans="1:22" s="16" customFormat="1" ht="15" customHeight="1">
      <c r="A26" s="15" t="s">
        <v>11</v>
      </c>
      <c r="I26" s="499"/>
      <c r="J26" s="15"/>
      <c r="N26" s="78"/>
      <c r="O26" s="78"/>
      <c r="P26" s="15"/>
      <c r="Q26" s="15"/>
      <c r="R26" s="15"/>
      <c r="S26" s="1037"/>
      <c r="T26" s="1037"/>
      <c r="U26" s="1037"/>
      <c r="V26" s="1037"/>
    </row>
    <row r="27" spans="9:22" s="16" customFormat="1" ht="12.75" customHeight="1">
      <c r="I27" s="499"/>
      <c r="N27" s="78"/>
      <c r="O27" s="78"/>
      <c r="P27" s="31"/>
      <c r="Q27" s="31"/>
      <c r="R27" s="31"/>
      <c r="S27" s="983" t="s">
        <v>819</v>
      </c>
      <c r="T27" s="983"/>
      <c r="U27" s="983"/>
      <c r="V27" s="983"/>
    </row>
    <row r="28" spans="9:22" s="16" customFormat="1" ht="12.75" customHeight="1">
      <c r="I28" s="499"/>
      <c r="N28" s="78"/>
      <c r="O28" s="78"/>
      <c r="P28" s="31"/>
      <c r="Q28" s="31"/>
      <c r="R28" s="31"/>
      <c r="S28" s="983" t="s">
        <v>487</v>
      </c>
      <c r="T28" s="983"/>
      <c r="U28" s="983"/>
      <c r="V28" s="983"/>
    </row>
    <row r="29" spans="1:22" s="16" customFormat="1" ht="15">
      <c r="A29" s="15"/>
      <c r="B29" s="15"/>
      <c r="I29" s="499"/>
      <c r="N29" s="78"/>
      <c r="O29" s="78"/>
      <c r="P29" s="15"/>
      <c r="Q29" s="15"/>
      <c r="R29" s="15"/>
      <c r="S29" s="15" t="s">
        <v>980</v>
      </c>
      <c r="T29" s="244"/>
      <c r="U29" s="244"/>
      <c r="V29" s="237"/>
    </row>
    <row r="30" spans="4:13" ht="15">
      <c r="D30" s="84"/>
      <c r="E30" s="84"/>
      <c r="F30" s="443"/>
      <c r="G30" s="84"/>
      <c r="H30" s="84"/>
      <c r="I30" s="499"/>
      <c r="J30" s="84"/>
      <c r="K30" s="84"/>
      <c r="L30" s="84"/>
      <c r="M30" s="84"/>
    </row>
    <row r="31" spans="4:13" ht="15">
      <c r="D31" s="84"/>
      <c r="E31" s="84"/>
      <c r="F31" s="443"/>
      <c r="G31" s="443"/>
      <c r="H31" s="84"/>
      <c r="I31" s="537"/>
      <c r="J31" s="84"/>
      <c r="K31" s="84"/>
      <c r="L31" s="84"/>
      <c r="M31" s="84"/>
    </row>
    <row r="32" spans="4:13" ht="15">
      <c r="D32" s="84"/>
      <c r="E32" s="84"/>
      <c r="F32" s="443"/>
      <c r="G32" s="443"/>
      <c r="H32" s="84"/>
      <c r="I32" s="537"/>
      <c r="J32" s="84"/>
      <c r="K32" s="84"/>
      <c r="L32" s="84"/>
      <c r="M32" s="84"/>
    </row>
    <row r="33" spans="4:13" ht="15">
      <c r="D33" s="84"/>
      <c r="E33" s="84"/>
      <c r="F33" s="443"/>
      <c r="G33" s="443"/>
      <c r="H33" s="84"/>
      <c r="I33" s="537"/>
      <c r="J33" s="84"/>
      <c r="K33" s="84"/>
      <c r="L33" s="84"/>
      <c r="M33" s="84"/>
    </row>
    <row r="34" spans="4:13" ht="15">
      <c r="D34" s="84"/>
      <c r="E34" s="84"/>
      <c r="F34" s="443"/>
      <c r="G34" s="443"/>
      <c r="H34" s="84"/>
      <c r="I34" s="537"/>
      <c r="J34" s="84"/>
      <c r="K34" s="84"/>
      <c r="L34" s="84"/>
      <c r="M34" s="84"/>
    </row>
    <row r="35" spans="4:13" ht="15">
      <c r="D35" s="84"/>
      <c r="E35" s="84"/>
      <c r="F35" s="443"/>
      <c r="G35" s="443"/>
      <c r="H35" s="84"/>
      <c r="I35" s="537"/>
      <c r="J35" s="84"/>
      <c r="K35" s="84"/>
      <c r="L35" s="84"/>
      <c r="M35" s="84"/>
    </row>
    <row r="36" spans="4:13" ht="15">
      <c r="D36" s="84"/>
      <c r="E36" s="84"/>
      <c r="F36" s="443"/>
      <c r="G36" s="443"/>
      <c r="H36" s="84"/>
      <c r="I36" s="537"/>
      <c r="J36" s="84"/>
      <c r="K36" s="84"/>
      <c r="L36" s="84"/>
      <c r="M36" s="84"/>
    </row>
    <row r="37" spans="4:13" ht="15">
      <c r="D37" s="84"/>
      <c r="E37" s="84"/>
      <c r="F37" s="443"/>
      <c r="G37" s="443"/>
      <c r="H37" s="84"/>
      <c r="I37" s="537"/>
      <c r="J37" s="84"/>
      <c r="K37" s="84"/>
      <c r="L37" s="84"/>
      <c r="M37" s="84"/>
    </row>
    <row r="38" spans="4:13" ht="15">
      <c r="D38" s="84"/>
      <c r="E38" s="84"/>
      <c r="F38" s="84"/>
      <c r="G38" s="443"/>
      <c r="H38" s="84"/>
      <c r="I38" s="537"/>
      <c r="J38" s="84"/>
      <c r="K38" s="84"/>
      <c r="L38" s="84"/>
      <c r="M38" s="84"/>
    </row>
    <row r="39" spans="7:9" ht="15">
      <c r="G39" s="443"/>
      <c r="I39" s="499"/>
    </row>
    <row r="40" ht="15">
      <c r="I40" s="499"/>
    </row>
  </sheetData>
  <sheetProtection/>
  <mergeCells count="26">
    <mergeCell ref="B9:B11"/>
    <mergeCell ref="T1:V1"/>
    <mergeCell ref="S9:V9"/>
    <mergeCell ref="K10:K11"/>
    <mergeCell ref="L10:N10"/>
    <mergeCell ref="C10:C11"/>
    <mergeCell ref="A2:V2"/>
    <mergeCell ref="A3:V3"/>
    <mergeCell ref="A5:V5"/>
    <mergeCell ref="A7:B7"/>
    <mergeCell ref="T10:V10"/>
    <mergeCell ref="H10:J10"/>
    <mergeCell ref="O9:R9"/>
    <mergeCell ref="D10:F10"/>
    <mergeCell ref="C9:F9"/>
    <mergeCell ref="G10:G11"/>
    <mergeCell ref="A9:A11"/>
    <mergeCell ref="S28:V28"/>
    <mergeCell ref="S26:V26"/>
    <mergeCell ref="K9:N9"/>
    <mergeCell ref="O10:O11"/>
    <mergeCell ref="P10:R10"/>
    <mergeCell ref="S27:V27"/>
    <mergeCell ref="G16:R17"/>
    <mergeCell ref="G9:J9"/>
    <mergeCell ref="S10:S11"/>
  </mergeCells>
  <printOptions horizontalCentered="1"/>
  <pageMargins left="0.46" right="0.19" top="1.42" bottom="0" header="1" footer="0.31496062992125984"/>
  <pageSetup fitToHeight="1" fitToWidth="1" horizontalDpi="600" verticalDpi="600" orientation="landscape" paperSize="9" scale="60" r:id="rId1"/>
</worksheet>
</file>

<file path=xl/worksheets/sheet66.xml><?xml version="1.0" encoding="utf-8"?>
<worksheet xmlns="http://schemas.openxmlformats.org/spreadsheetml/2006/main" xmlns:r="http://schemas.openxmlformats.org/officeDocument/2006/relationships">
  <dimension ref="A1:X30"/>
  <sheetViews>
    <sheetView zoomScalePageLayoutView="0" workbookViewId="0" topLeftCell="A3">
      <selection activeCell="B8" sqref="B8:B10"/>
    </sheetView>
  </sheetViews>
  <sheetFormatPr defaultColWidth="9.140625" defaultRowHeight="12.75"/>
  <cols>
    <col min="1" max="1" width="4.421875" style="78" customWidth="1"/>
    <col min="2" max="2" width="12.140625" style="78" customWidth="1"/>
    <col min="3" max="3" width="8.57421875" style="78" customWidth="1"/>
    <col min="4" max="4" width="8.421875" style="78" bestFit="1" customWidth="1"/>
    <col min="5" max="5" width="7.140625" style="78" bestFit="1" customWidth="1"/>
    <col min="6" max="6" width="6.140625" style="78" bestFit="1" customWidth="1"/>
    <col min="7" max="7" width="8.7109375" style="78" customWidth="1"/>
    <col min="8" max="8" width="8.421875" style="78" bestFit="1" customWidth="1"/>
    <col min="9" max="9" width="6.8515625" style="78" customWidth="1"/>
    <col min="10" max="10" width="7.28125" style="78" bestFit="1" customWidth="1"/>
    <col min="11" max="11" width="9.00390625" style="78" customWidth="1"/>
    <col min="12" max="14" width="7.57421875" style="78" customWidth="1"/>
    <col min="15" max="15" width="8.7109375" style="78" customWidth="1"/>
    <col min="16" max="18" width="7.57421875" style="78" customWidth="1"/>
    <col min="19" max="19" width="8.8515625" style="78" customWidth="1"/>
    <col min="20" max="22" width="8.140625" style="78" customWidth="1"/>
    <col min="23" max="16384" width="9.140625" style="78" customWidth="1"/>
  </cols>
  <sheetData>
    <row r="1" spans="3:24" s="16" customFormat="1" ht="15.75">
      <c r="C1" s="46"/>
      <c r="D1" s="46"/>
      <c r="E1" s="46"/>
      <c r="F1" s="46"/>
      <c r="G1" s="46"/>
      <c r="H1" s="46"/>
      <c r="I1" s="108" t="s">
        <v>0</v>
      </c>
      <c r="J1" s="108"/>
      <c r="S1" s="42"/>
      <c r="T1" s="42"/>
      <c r="U1" s="805" t="s">
        <v>887</v>
      </c>
      <c r="V1" s="805"/>
      <c r="W1" s="44"/>
      <c r="X1" s="44"/>
    </row>
    <row r="2" spans="5:16" s="16" customFormat="1" ht="20.25">
      <c r="E2" s="645" t="s">
        <v>854</v>
      </c>
      <c r="F2" s="645"/>
      <c r="G2" s="645"/>
      <c r="H2" s="645"/>
      <c r="I2" s="645"/>
      <c r="J2" s="645"/>
      <c r="K2" s="645"/>
      <c r="L2" s="645"/>
      <c r="M2" s="645"/>
      <c r="N2" s="645"/>
      <c r="O2" s="645"/>
      <c r="P2" s="645"/>
    </row>
    <row r="3" spans="8:16" s="16" customFormat="1" ht="12" customHeight="1">
      <c r="H3" s="45"/>
      <c r="I3" s="45"/>
      <c r="J3" s="45"/>
      <c r="K3" s="45"/>
      <c r="L3" s="45"/>
      <c r="M3" s="45"/>
      <c r="N3" s="45"/>
      <c r="O3" s="45"/>
      <c r="P3" s="45"/>
    </row>
    <row r="4" spans="3:23" ht="15.75">
      <c r="C4" s="646" t="s">
        <v>888</v>
      </c>
      <c r="D4" s="646"/>
      <c r="E4" s="646"/>
      <c r="F4" s="646"/>
      <c r="G4" s="646"/>
      <c r="H4" s="646"/>
      <c r="I4" s="646"/>
      <c r="J4" s="646"/>
      <c r="K4" s="646"/>
      <c r="L4" s="646"/>
      <c r="M4" s="646"/>
      <c r="N4" s="646"/>
      <c r="O4" s="646"/>
      <c r="P4" s="646"/>
      <c r="Q4" s="646"/>
      <c r="R4" s="48"/>
      <c r="S4" s="562"/>
      <c r="T4" s="562"/>
      <c r="U4" s="562"/>
      <c r="V4" s="562"/>
      <c r="W4" s="108"/>
    </row>
    <row r="5" spans="3:23" ht="15">
      <c r="C5" s="79"/>
      <c r="D5" s="79"/>
      <c r="E5" s="79"/>
      <c r="F5" s="79"/>
      <c r="G5" s="79"/>
      <c r="H5" s="79"/>
      <c r="M5" s="79"/>
      <c r="N5" s="79"/>
      <c r="O5" s="79"/>
      <c r="P5" s="79"/>
      <c r="Q5" s="79"/>
      <c r="R5" s="79"/>
      <c r="S5" s="79"/>
      <c r="T5" s="79"/>
      <c r="U5" s="79"/>
      <c r="V5" s="79"/>
      <c r="W5" s="79"/>
    </row>
    <row r="6" spans="1:2" ht="15">
      <c r="A6" s="563" t="s">
        <v>979</v>
      </c>
      <c r="B6" s="560"/>
    </row>
    <row r="7" ht="15">
      <c r="B7" s="561"/>
    </row>
    <row r="8" spans="1:22" s="563" customFormat="1" ht="24.75" customHeight="1">
      <c r="A8" s="653" t="s">
        <v>70</v>
      </c>
      <c r="B8" s="1023" t="s">
        <v>3</v>
      </c>
      <c r="C8" s="1020" t="s">
        <v>889</v>
      </c>
      <c r="D8" s="1021"/>
      <c r="E8" s="1021"/>
      <c r="F8" s="1021"/>
      <c r="G8" s="1020" t="s">
        <v>890</v>
      </c>
      <c r="H8" s="1021"/>
      <c r="I8" s="1021"/>
      <c r="J8" s="1021"/>
      <c r="K8" s="1020" t="s">
        <v>891</v>
      </c>
      <c r="L8" s="1021"/>
      <c r="M8" s="1021"/>
      <c r="N8" s="1021"/>
      <c r="O8" s="1020" t="s">
        <v>892</v>
      </c>
      <c r="P8" s="1021"/>
      <c r="Q8" s="1021"/>
      <c r="R8" s="1021"/>
      <c r="S8" s="1048" t="s">
        <v>15</v>
      </c>
      <c r="T8" s="1049"/>
      <c r="U8" s="1049"/>
      <c r="V8" s="1049"/>
    </row>
    <row r="9" spans="1:22" s="82" customFormat="1" ht="29.25" customHeight="1">
      <c r="A9" s="653"/>
      <c r="B9" s="1023"/>
      <c r="C9" s="1034" t="s">
        <v>893</v>
      </c>
      <c r="D9" s="1038" t="s">
        <v>1008</v>
      </c>
      <c r="E9" s="1039"/>
      <c r="F9" s="1040"/>
      <c r="G9" s="1034" t="s">
        <v>893</v>
      </c>
      <c r="H9" s="1038" t="s">
        <v>1008</v>
      </c>
      <c r="I9" s="1039"/>
      <c r="J9" s="1040"/>
      <c r="K9" s="1034" t="s">
        <v>893</v>
      </c>
      <c r="L9" s="1038" t="s">
        <v>1008</v>
      </c>
      <c r="M9" s="1039"/>
      <c r="N9" s="1040"/>
      <c r="O9" s="1034" t="s">
        <v>893</v>
      </c>
      <c r="P9" s="1038" t="s">
        <v>1008</v>
      </c>
      <c r="Q9" s="1039"/>
      <c r="R9" s="1040"/>
      <c r="S9" s="1034" t="s">
        <v>893</v>
      </c>
      <c r="T9" s="1038" t="s">
        <v>1008</v>
      </c>
      <c r="U9" s="1039"/>
      <c r="V9" s="1040"/>
    </row>
    <row r="10" spans="1:22" s="82" customFormat="1" ht="46.5" customHeight="1">
      <c r="A10" s="653"/>
      <c r="B10" s="1023"/>
      <c r="C10" s="1035"/>
      <c r="D10" s="304" t="s">
        <v>894</v>
      </c>
      <c r="E10" s="304" t="s">
        <v>201</v>
      </c>
      <c r="F10" s="304" t="s">
        <v>15</v>
      </c>
      <c r="G10" s="1035"/>
      <c r="H10" s="304" t="s">
        <v>894</v>
      </c>
      <c r="I10" s="304" t="s">
        <v>201</v>
      </c>
      <c r="J10" s="304" t="s">
        <v>15</v>
      </c>
      <c r="K10" s="1035"/>
      <c r="L10" s="304" t="s">
        <v>894</v>
      </c>
      <c r="M10" s="304" t="s">
        <v>201</v>
      </c>
      <c r="N10" s="304" t="s">
        <v>15</v>
      </c>
      <c r="O10" s="1035"/>
      <c r="P10" s="304" t="s">
        <v>894</v>
      </c>
      <c r="Q10" s="304" t="s">
        <v>201</v>
      </c>
      <c r="R10" s="304" t="s">
        <v>15</v>
      </c>
      <c r="S10" s="1035"/>
      <c r="T10" s="304" t="s">
        <v>894</v>
      </c>
      <c r="U10" s="304" t="s">
        <v>201</v>
      </c>
      <c r="V10" s="304" t="s">
        <v>15</v>
      </c>
    </row>
    <row r="11" spans="1:22" s="144" customFormat="1" ht="15.75" customHeight="1">
      <c r="A11" s="564">
        <v>1</v>
      </c>
      <c r="B11" s="143">
        <v>2</v>
      </c>
      <c r="C11" s="143">
        <v>3</v>
      </c>
      <c r="D11" s="564">
        <v>4</v>
      </c>
      <c r="E11" s="143">
        <v>5</v>
      </c>
      <c r="F11" s="143">
        <v>6</v>
      </c>
      <c r="G11" s="564">
        <v>7</v>
      </c>
      <c r="H11" s="143">
        <v>8</v>
      </c>
      <c r="I11" s="143">
        <v>9</v>
      </c>
      <c r="J11" s="564">
        <v>10</v>
      </c>
      <c r="K11" s="143">
        <v>11</v>
      </c>
      <c r="L11" s="143">
        <v>12</v>
      </c>
      <c r="M11" s="564">
        <v>13</v>
      </c>
      <c r="N11" s="143">
        <v>14</v>
      </c>
      <c r="O11" s="143">
        <v>15</v>
      </c>
      <c r="P11" s="564">
        <v>16</v>
      </c>
      <c r="Q11" s="143">
        <v>17</v>
      </c>
      <c r="R11" s="143">
        <v>18</v>
      </c>
      <c r="S11" s="564">
        <v>19</v>
      </c>
      <c r="T11" s="143">
        <v>20</v>
      </c>
      <c r="U11" s="143">
        <v>21</v>
      </c>
      <c r="V11" s="564">
        <v>22</v>
      </c>
    </row>
    <row r="12" spans="1:22" ht="15">
      <c r="A12" s="8">
        <v>1</v>
      </c>
      <c r="B12" s="53" t="s">
        <v>476</v>
      </c>
      <c r="C12" s="53">
        <v>107</v>
      </c>
      <c r="D12" s="570">
        <f>(9000*C12)/100000</f>
        <v>9.63</v>
      </c>
      <c r="E12" s="570">
        <f>(1000*C12)/100000</f>
        <v>1.07</v>
      </c>
      <c r="F12" s="570">
        <f>D12+E12</f>
        <v>10.700000000000001</v>
      </c>
      <c r="G12" s="53">
        <v>132</v>
      </c>
      <c r="H12" s="570">
        <f>(13500*G12)/100000</f>
        <v>17.82</v>
      </c>
      <c r="I12" s="570">
        <f>(1500*G12)/100000</f>
        <v>1.98</v>
      </c>
      <c r="J12" s="570">
        <f>SUM(H12:I12)</f>
        <v>19.8</v>
      </c>
      <c r="K12" s="53">
        <v>113</v>
      </c>
      <c r="L12" s="570">
        <f>(18000*K12)/100000</f>
        <v>20.34</v>
      </c>
      <c r="M12" s="570">
        <f>(2000*K12)/100000</f>
        <v>2.26</v>
      </c>
      <c r="N12" s="570">
        <f>SUM(L12:M12)</f>
        <v>22.6</v>
      </c>
      <c r="O12" s="53">
        <v>70</v>
      </c>
      <c r="P12" s="570">
        <f>(22500*O12)/100000</f>
        <v>15.75</v>
      </c>
      <c r="Q12" s="570">
        <f>(2500*O12)/100000</f>
        <v>1.75</v>
      </c>
      <c r="R12" s="570">
        <f>SUM(P12:Q12)</f>
        <v>17.5</v>
      </c>
      <c r="S12" s="571">
        <f>C12+G12+K12+O12</f>
        <v>422</v>
      </c>
      <c r="T12" s="572">
        <f aca="true" t="shared" si="0" ref="T12:V19">D12+H12+L12+P12</f>
        <v>63.540000000000006</v>
      </c>
      <c r="U12" s="572">
        <f t="shared" si="0"/>
        <v>7.06</v>
      </c>
      <c r="V12" s="572">
        <f t="shared" si="0"/>
        <v>70.6</v>
      </c>
    </row>
    <row r="13" spans="1:22" ht="15">
      <c r="A13" s="8">
        <v>2</v>
      </c>
      <c r="B13" s="53" t="s">
        <v>477</v>
      </c>
      <c r="C13" s="53">
        <v>97</v>
      </c>
      <c r="D13" s="570">
        <f aca="true" t="shared" si="1" ref="D13:D19">(9000*C13)/100000</f>
        <v>8.73</v>
      </c>
      <c r="E13" s="570">
        <f aca="true" t="shared" si="2" ref="E13:E19">(1000*C13)/100000</f>
        <v>0.97</v>
      </c>
      <c r="F13" s="570">
        <f aca="true" t="shared" si="3" ref="F13:F19">D13+E13</f>
        <v>9.700000000000001</v>
      </c>
      <c r="G13" s="53">
        <v>181</v>
      </c>
      <c r="H13" s="570">
        <f aca="true" t="shared" si="4" ref="H13:H19">(13500*G13)/100000</f>
        <v>24.435</v>
      </c>
      <c r="I13" s="570">
        <f aca="true" t="shared" si="5" ref="I13:I19">(1500*G13)/100000</f>
        <v>2.715</v>
      </c>
      <c r="J13" s="570">
        <f aca="true" t="shared" si="6" ref="J13:J19">SUM(H13:I13)</f>
        <v>27.15</v>
      </c>
      <c r="K13" s="53">
        <v>58</v>
      </c>
      <c r="L13" s="570">
        <f aca="true" t="shared" si="7" ref="L13:L19">(18000*K13)/100000</f>
        <v>10.44</v>
      </c>
      <c r="M13" s="570">
        <f aca="true" t="shared" si="8" ref="M13:M19">(2000*K13)/100000</f>
        <v>1.16</v>
      </c>
      <c r="N13" s="570">
        <f aca="true" t="shared" si="9" ref="N13:N19">SUM(L13:M13)</f>
        <v>11.6</v>
      </c>
      <c r="O13" s="53">
        <v>11</v>
      </c>
      <c r="P13" s="570">
        <f aca="true" t="shared" si="10" ref="P13:P19">(22500*O13)/100000</f>
        <v>2.475</v>
      </c>
      <c r="Q13" s="570">
        <f aca="true" t="shared" si="11" ref="Q13:Q19">(2500*O13)/100000</f>
        <v>0.275</v>
      </c>
      <c r="R13" s="570">
        <f aca="true" t="shared" si="12" ref="R13:R19">SUM(P13:Q13)</f>
        <v>2.75</v>
      </c>
      <c r="S13" s="571">
        <f aca="true" t="shared" si="13" ref="S13:S19">C13+G13+K13+O13</f>
        <v>347</v>
      </c>
      <c r="T13" s="572">
        <f t="shared" si="0"/>
        <v>46.08</v>
      </c>
      <c r="U13" s="572">
        <f t="shared" si="0"/>
        <v>5.12</v>
      </c>
      <c r="V13" s="572">
        <f t="shared" si="0"/>
        <v>51.2</v>
      </c>
    </row>
    <row r="14" spans="1:22" ht="15">
      <c r="A14" s="8">
        <v>3</v>
      </c>
      <c r="B14" s="53" t="s">
        <v>478</v>
      </c>
      <c r="C14" s="632">
        <v>99</v>
      </c>
      <c r="D14" s="633">
        <f t="shared" si="1"/>
        <v>8.91</v>
      </c>
      <c r="E14" s="633">
        <f t="shared" si="2"/>
        <v>0.99</v>
      </c>
      <c r="F14" s="633">
        <f t="shared" si="3"/>
        <v>9.9</v>
      </c>
      <c r="G14" s="632">
        <v>99</v>
      </c>
      <c r="H14" s="633">
        <f t="shared" si="4"/>
        <v>13.365</v>
      </c>
      <c r="I14" s="633">
        <f t="shared" si="5"/>
        <v>1.485</v>
      </c>
      <c r="J14" s="633">
        <f t="shared" si="6"/>
        <v>14.85</v>
      </c>
      <c r="K14" s="632">
        <v>32</v>
      </c>
      <c r="L14" s="633">
        <f t="shared" si="7"/>
        <v>5.76</v>
      </c>
      <c r="M14" s="633">
        <f t="shared" si="8"/>
        <v>0.64</v>
      </c>
      <c r="N14" s="633">
        <f t="shared" si="9"/>
        <v>6.3999999999999995</v>
      </c>
      <c r="O14" s="632">
        <v>7</v>
      </c>
      <c r="P14" s="633">
        <f t="shared" si="10"/>
        <v>1.575</v>
      </c>
      <c r="Q14" s="633">
        <f t="shared" si="11"/>
        <v>0.175</v>
      </c>
      <c r="R14" s="633">
        <f t="shared" si="12"/>
        <v>1.75</v>
      </c>
      <c r="S14" s="634">
        <f t="shared" si="13"/>
        <v>237</v>
      </c>
      <c r="T14" s="635">
        <f t="shared" si="0"/>
        <v>29.609999999999996</v>
      </c>
      <c r="U14" s="635">
        <f t="shared" si="0"/>
        <v>3.29</v>
      </c>
      <c r="V14" s="635">
        <f t="shared" si="0"/>
        <v>32.9</v>
      </c>
    </row>
    <row r="15" spans="1:22" ht="15">
      <c r="A15" s="8">
        <v>4</v>
      </c>
      <c r="B15" s="53" t="s">
        <v>479</v>
      </c>
      <c r="C15" s="632">
        <v>114</v>
      </c>
      <c r="D15" s="633">
        <f t="shared" si="1"/>
        <v>10.26</v>
      </c>
      <c r="E15" s="633">
        <f t="shared" si="2"/>
        <v>1.14</v>
      </c>
      <c r="F15" s="633">
        <f t="shared" si="3"/>
        <v>11.4</v>
      </c>
      <c r="G15" s="632">
        <v>122</v>
      </c>
      <c r="H15" s="633">
        <f t="shared" si="4"/>
        <v>16.47</v>
      </c>
      <c r="I15" s="633">
        <f t="shared" si="5"/>
        <v>1.83</v>
      </c>
      <c r="J15" s="633">
        <f t="shared" si="6"/>
        <v>18.299999999999997</v>
      </c>
      <c r="K15" s="632">
        <v>53</v>
      </c>
      <c r="L15" s="633">
        <f t="shared" si="7"/>
        <v>9.54</v>
      </c>
      <c r="M15" s="633">
        <f t="shared" si="8"/>
        <v>1.06</v>
      </c>
      <c r="N15" s="633">
        <f t="shared" si="9"/>
        <v>10.6</v>
      </c>
      <c r="O15" s="632">
        <v>16</v>
      </c>
      <c r="P15" s="633">
        <f t="shared" si="10"/>
        <v>3.6</v>
      </c>
      <c r="Q15" s="633">
        <f t="shared" si="11"/>
        <v>0.4</v>
      </c>
      <c r="R15" s="633">
        <f t="shared" si="12"/>
        <v>4</v>
      </c>
      <c r="S15" s="634">
        <f t="shared" si="13"/>
        <v>305</v>
      </c>
      <c r="T15" s="635">
        <f t="shared" si="0"/>
        <v>39.87</v>
      </c>
      <c r="U15" s="635">
        <f t="shared" si="0"/>
        <v>4.43</v>
      </c>
      <c r="V15" s="635">
        <f t="shared" si="0"/>
        <v>44.3</v>
      </c>
    </row>
    <row r="16" spans="1:22" ht="15">
      <c r="A16" s="8">
        <v>5</v>
      </c>
      <c r="B16" s="53" t="s">
        <v>480</v>
      </c>
      <c r="C16" s="632">
        <v>119</v>
      </c>
      <c r="D16" s="633">
        <f t="shared" si="1"/>
        <v>10.71</v>
      </c>
      <c r="E16" s="633">
        <f t="shared" si="2"/>
        <v>1.19</v>
      </c>
      <c r="F16" s="633">
        <f t="shared" si="3"/>
        <v>11.9</v>
      </c>
      <c r="G16" s="632">
        <v>172</v>
      </c>
      <c r="H16" s="633">
        <f t="shared" si="4"/>
        <v>23.22</v>
      </c>
      <c r="I16" s="633">
        <f t="shared" si="5"/>
        <v>2.58</v>
      </c>
      <c r="J16" s="633">
        <f t="shared" si="6"/>
        <v>25.799999999999997</v>
      </c>
      <c r="K16" s="632">
        <v>37</v>
      </c>
      <c r="L16" s="633">
        <f t="shared" si="7"/>
        <v>6.66</v>
      </c>
      <c r="M16" s="633">
        <f t="shared" si="8"/>
        <v>0.74</v>
      </c>
      <c r="N16" s="633">
        <f t="shared" si="9"/>
        <v>7.4</v>
      </c>
      <c r="O16" s="632">
        <v>11</v>
      </c>
      <c r="P16" s="633">
        <f t="shared" si="10"/>
        <v>2.475</v>
      </c>
      <c r="Q16" s="633">
        <f t="shared" si="11"/>
        <v>0.275</v>
      </c>
      <c r="R16" s="633">
        <f t="shared" si="12"/>
        <v>2.75</v>
      </c>
      <c r="S16" s="634">
        <f t="shared" si="13"/>
        <v>339</v>
      </c>
      <c r="T16" s="635">
        <f t="shared" si="0"/>
        <v>43.065000000000005</v>
      </c>
      <c r="U16" s="635">
        <f t="shared" si="0"/>
        <v>4.785</v>
      </c>
      <c r="V16" s="635">
        <f t="shared" si="0"/>
        <v>47.849999999999994</v>
      </c>
    </row>
    <row r="17" spans="1:22" ht="15">
      <c r="A17" s="8">
        <v>6</v>
      </c>
      <c r="B17" s="53" t="s">
        <v>481</v>
      </c>
      <c r="C17" s="632">
        <v>39</v>
      </c>
      <c r="D17" s="633">
        <f t="shared" si="1"/>
        <v>3.51</v>
      </c>
      <c r="E17" s="633">
        <f t="shared" si="2"/>
        <v>0.39</v>
      </c>
      <c r="F17" s="633">
        <f t="shared" si="3"/>
        <v>3.9</v>
      </c>
      <c r="G17" s="632">
        <v>111</v>
      </c>
      <c r="H17" s="633">
        <f t="shared" si="4"/>
        <v>14.985</v>
      </c>
      <c r="I17" s="633">
        <f t="shared" si="5"/>
        <v>1.665</v>
      </c>
      <c r="J17" s="633">
        <f t="shared" si="6"/>
        <v>16.65</v>
      </c>
      <c r="K17" s="632">
        <v>56</v>
      </c>
      <c r="L17" s="633">
        <f t="shared" si="7"/>
        <v>10.08</v>
      </c>
      <c r="M17" s="633">
        <f t="shared" si="8"/>
        <v>1.12</v>
      </c>
      <c r="N17" s="633">
        <f t="shared" si="9"/>
        <v>11.2</v>
      </c>
      <c r="O17" s="632">
        <v>8</v>
      </c>
      <c r="P17" s="633">
        <f t="shared" si="10"/>
        <v>1.8</v>
      </c>
      <c r="Q17" s="633">
        <f t="shared" si="11"/>
        <v>0.2</v>
      </c>
      <c r="R17" s="633">
        <f t="shared" si="12"/>
        <v>2</v>
      </c>
      <c r="S17" s="634">
        <f t="shared" si="13"/>
        <v>214</v>
      </c>
      <c r="T17" s="635">
        <f t="shared" si="0"/>
        <v>30.374999999999996</v>
      </c>
      <c r="U17" s="635">
        <f t="shared" si="0"/>
        <v>3.3750000000000004</v>
      </c>
      <c r="V17" s="635">
        <f t="shared" si="0"/>
        <v>33.75</v>
      </c>
    </row>
    <row r="18" spans="1:22" ht="15">
      <c r="A18" s="8">
        <v>7</v>
      </c>
      <c r="B18" s="53" t="s">
        <v>482</v>
      </c>
      <c r="C18" s="632">
        <v>69</v>
      </c>
      <c r="D18" s="633">
        <f t="shared" si="1"/>
        <v>6.21</v>
      </c>
      <c r="E18" s="633">
        <f t="shared" si="2"/>
        <v>0.69</v>
      </c>
      <c r="F18" s="633">
        <f t="shared" si="3"/>
        <v>6.9</v>
      </c>
      <c r="G18" s="632">
        <v>145</v>
      </c>
      <c r="H18" s="633">
        <f t="shared" si="4"/>
        <v>19.575</v>
      </c>
      <c r="I18" s="633">
        <f t="shared" si="5"/>
        <v>2.175</v>
      </c>
      <c r="J18" s="633">
        <f t="shared" si="6"/>
        <v>21.75</v>
      </c>
      <c r="K18" s="632">
        <v>85</v>
      </c>
      <c r="L18" s="633">
        <f t="shared" si="7"/>
        <v>15.3</v>
      </c>
      <c r="M18" s="633">
        <f t="shared" si="8"/>
        <v>1.7</v>
      </c>
      <c r="N18" s="633">
        <f t="shared" si="9"/>
        <v>17</v>
      </c>
      <c r="O18" s="632">
        <v>22</v>
      </c>
      <c r="P18" s="633">
        <f t="shared" si="10"/>
        <v>4.95</v>
      </c>
      <c r="Q18" s="633">
        <f t="shared" si="11"/>
        <v>0.55</v>
      </c>
      <c r="R18" s="633">
        <f t="shared" si="12"/>
        <v>5.5</v>
      </c>
      <c r="S18" s="634">
        <f t="shared" si="13"/>
        <v>321</v>
      </c>
      <c r="T18" s="635">
        <f t="shared" si="0"/>
        <v>46.035000000000004</v>
      </c>
      <c r="U18" s="635">
        <f t="shared" si="0"/>
        <v>5.114999999999999</v>
      </c>
      <c r="V18" s="635">
        <f t="shared" si="0"/>
        <v>51.15</v>
      </c>
    </row>
    <row r="19" spans="1:22" ht="15">
      <c r="A19" s="8">
        <v>8</v>
      </c>
      <c r="B19" s="53" t="s">
        <v>483</v>
      </c>
      <c r="C19" s="632">
        <v>187</v>
      </c>
      <c r="D19" s="633">
        <f t="shared" si="1"/>
        <v>16.83</v>
      </c>
      <c r="E19" s="633">
        <f t="shared" si="2"/>
        <v>1.87</v>
      </c>
      <c r="F19" s="633">
        <f t="shared" si="3"/>
        <v>18.7</v>
      </c>
      <c r="G19" s="632">
        <v>144</v>
      </c>
      <c r="H19" s="633">
        <f t="shared" si="4"/>
        <v>19.44</v>
      </c>
      <c r="I19" s="633">
        <f t="shared" si="5"/>
        <v>2.16</v>
      </c>
      <c r="J19" s="633">
        <f t="shared" si="6"/>
        <v>21.6</v>
      </c>
      <c r="K19" s="632">
        <v>34</v>
      </c>
      <c r="L19" s="633">
        <f t="shared" si="7"/>
        <v>6.12</v>
      </c>
      <c r="M19" s="633">
        <f t="shared" si="8"/>
        <v>0.68</v>
      </c>
      <c r="N19" s="633">
        <f t="shared" si="9"/>
        <v>6.8</v>
      </c>
      <c r="O19" s="632">
        <v>12</v>
      </c>
      <c r="P19" s="633">
        <f t="shared" si="10"/>
        <v>2.7</v>
      </c>
      <c r="Q19" s="633">
        <f t="shared" si="11"/>
        <v>0.3</v>
      </c>
      <c r="R19" s="633">
        <f t="shared" si="12"/>
        <v>3</v>
      </c>
      <c r="S19" s="634">
        <f t="shared" si="13"/>
        <v>377</v>
      </c>
      <c r="T19" s="635">
        <f t="shared" si="0"/>
        <v>45.089999999999996</v>
      </c>
      <c r="U19" s="635">
        <f t="shared" si="0"/>
        <v>5.01</v>
      </c>
      <c r="V19" s="635">
        <f t="shared" si="0"/>
        <v>50.099999999999994</v>
      </c>
    </row>
    <row r="20" spans="1:22" ht="15">
      <c r="A20" s="3"/>
      <c r="B20" s="53" t="s">
        <v>484</v>
      </c>
      <c r="C20" s="634">
        <f>SUM(C12:C19)</f>
        <v>831</v>
      </c>
      <c r="D20" s="635">
        <f aca="true" t="shared" si="14" ref="D20:S20">SUM(D12:D19)</f>
        <v>74.78999999999999</v>
      </c>
      <c r="E20" s="635">
        <f t="shared" si="14"/>
        <v>8.309999999999999</v>
      </c>
      <c r="F20" s="635">
        <f t="shared" si="14"/>
        <v>83.10000000000001</v>
      </c>
      <c r="G20" s="634">
        <f t="shared" si="14"/>
        <v>1106</v>
      </c>
      <c r="H20" s="635">
        <f t="shared" si="14"/>
        <v>149.31</v>
      </c>
      <c r="I20" s="635">
        <f t="shared" si="14"/>
        <v>16.590000000000003</v>
      </c>
      <c r="J20" s="635">
        <f t="shared" si="14"/>
        <v>165.89999999999998</v>
      </c>
      <c r="K20" s="634">
        <f t="shared" si="14"/>
        <v>468</v>
      </c>
      <c r="L20" s="635">
        <f t="shared" si="14"/>
        <v>84.24</v>
      </c>
      <c r="M20" s="635">
        <f t="shared" si="14"/>
        <v>9.36</v>
      </c>
      <c r="N20" s="635">
        <f t="shared" si="14"/>
        <v>93.6</v>
      </c>
      <c r="O20" s="634">
        <f t="shared" si="14"/>
        <v>157</v>
      </c>
      <c r="P20" s="635">
        <f t="shared" si="14"/>
        <v>35.32500000000001</v>
      </c>
      <c r="Q20" s="635">
        <f t="shared" si="14"/>
        <v>3.925</v>
      </c>
      <c r="R20" s="635">
        <f t="shared" si="14"/>
        <v>39.25</v>
      </c>
      <c r="S20" s="634">
        <f t="shared" si="14"/>
        <v>2562</v>
      </c>
      <c r="T20" s="635">
        <f>SUM(T12:T19)</f>
        <v>343.66499999999996</v>
      </c>
      <c r="U20" s="635">
        <f>SUM(U12:U19)</f>
        <v>38.184999999999995</v>
      </c>
      <c r="V20" s="635">
        <f>SUM(V12:V19)</f>
        <v>381.85</v>
      </c>
    </row>
    <row r="21" spans="1:22" ht="30" customHeight="1">
      <c r="A21" s="1050" t="s">
        <v>1063</v>
      </c>
      <c r="B21" s="1050"/>
      <c r="C21" s="1050"/>
      <c r="D21" s="1050"/>
      <c r="E21" s="1050"/>
      <c r="F21" s="1050"/>
      <c r="G21" s="1050"/>
      <c r="H21" s="1050"/>
      <c r="I21" s="1050"/>
      <c r="J21" s="1050"/>
      <c r="K21" s="1050"/>
      <c r="L21" s="1050"/>
      <c r="M21" s="1050"/>
      <c r="N21" s="1050"/>
      <c r="O21" s="1050"/>
      <c r="P21" s="1050"/>
      <c r="Q21" s="1050"/>
      <c r="R21" s="1050"/>
      <c r="S21" s="1050"/>
      <c r="T21" s="1050"/>
      <c r="U21" s="1050"/>
      <c r="V21" s="1050"/>
    </row>
    <row r="22" spans="1:22" s="16" customFormat="1" ht="15">
      <c r="A22" s="15" t="s">
        <v>11</v>
      </c>
      <c r="C22" s="591"/>
      <c r="D22" s="501"/>
      <c r="E22" s="21"/>
      <c r="F22" s="21"/>
      <c r="G22" s="591"/>
      <c r="H22" s="513"/>
      <c r="K22" s="15"/>
      <c r="L22" s="15"/>
      <c r="M22" s="15"/>
      <c r="N22" s="78"/>
      <c r="O22" s="15"/>
      <c r="P22" s="15"/>
      <c r="Q22" s="15"/>
      <c r="R22" s="15"/>
      <c r="S22" s="667"/>
      <c r="T22" s="667"/>
      <c r="U22" s="667"/>
      <c r="V22" s="667"/>
    </row>
    <row r="23" spans="1:22" s="16" customFormat="1" ht="15">
      <c r="A23" s="15"/>
      <c r="C23" s="591"/>
      <c r="D23" s="501"/>
      <c r="E23" s="21"/>
      <c r="F23" s="21"/>
      <c r="G23" s="591"/>
      <c r="H23" s="513"/>
      <c r="K23" s="15"/>
      <c r="L23" s="15"/>
      <c r="M23" s="15"/>
      <c r="N23" s="78"/>
      <c r="O23" s="15"/>
      <c r="P23" s="15"/>
      <c r="Q23" s="15"/>
      <c r="R23" s="15"/>
      <c r="S23" s="122"/>
      <c r="T23" s="122"/>
      <c r="U23" s="122"/>
      <c r="V23" s="122"/>
    </row>
    <row r="24" spans="3:22" s="16" customFormat="1" ht="12.75" customHeight="1">
      <c r="C24" s="591"/>
      <c r="D24" s="501"/>
      <c r="E24" s="21"/>
      <c r="F24" s="21"/>
      <c r="G24" s="591"/>
      <c r="H24" s="513"/>
      <c r="K24" s="31"/>
      <c r="L24" s="31"/>
      <c r="M24" s="31"/>
      <c r="N24" s="78"/>
      <c r="O24" s="31"/>
      <c r="P24" s="31"/>
      <c r="Q24" s="31"/>
      <c r="R24" s="78"/>
      <c r="S24" s="667"/>
      <c r="T24" s="667"/>
      <c r="U24" s="31"/>
      <c r="V24" s="31"/>
    </row>
    <row r="25" spans="3:22" s="16" customFormat="1" ht="12.75" customHeight="1">
      <c r="C25" s="591"/>
      <c r="D25" s="501"/>
      <c r="E25" s="21"/>
      <c r="F25" s="21"/>
      <c r="G25" s="591"/>
      <c r="H25" s="513"/>
      <c r="K25" s="31"/>
      <c r="L25" s="31"/>
      <c r="M25" s="31"/>
      <c r="N25" s="78"/>
      <c r="O25" s="31"/>
      <c r="P25" s="31"/>
      <c r="Q25" s="31"/>
      <c r="R25" s="31" t="s">
        <v>1007</v>
      </c>
      <c r="S25" s="31"/>
      <c r="T25" s="31"/>
      <c r="U25" s="31"/>
      <c r="V25" s="31"/>
    </row>
    <row r="26" spans="1:22" s="16" customFormat="1" ht="15">
      <c r="A26" s="15"/>
      <c r="B26" s="15"/>
      <c r="C26" s="591"/>
      <c r="D26" s="501"/>
      <c r="E26" s="21"/>
      <c r="F26" s="21"/>
      <c r="G26" s="591"/>
      <c r="H26" s="513"/>
      <c r="K26" s="15"/>
      <c r="L26" s="15"/>
      <c r="M26" s="15"/>
      <c r="N26" s="78"/>
      <c r="O26" s="15"/>
      <c r="P26" s="15"/>
      <c r="Q26" s="31"/>
      <c r="R26" s="31" t="s">
        <v>487</v>
      </c>
      <c r="S26" s="31"/>
      <c r="T26" s="31"/>
      <c r="U26" s="31"/>
      <c r="V26" s="31"/>
    </row>
    <row r="27" spans="3:20" ht="15">
      <c r="C27" s="591"/>
      <c r="D27" s="501"/>
      <c r="E27" s="84"/>
      <c r="F27" s="84"/>
      <c r="G27" s="591"/>
      <c r="H27" s="513"/>
      <c r="R27" s="699" t="s">
        <v>80</v>
      </c>
      <c r="S27" s="699"/>
      <c r="T27" s="699"/>
    </row>
    <row r="28" spans="3:8" ht="15">
      <c r="C28" s="591"/>
      <c r="D28" s="501"/>
      <c r="E28" s="84"/>
      <c r="F28" s="84"/>
      <c r="G28" s="591"/>
      <c r="H28" s="513"/>
    </row>
    <row r="29" spans="3:8" ht="15">
      <c r="C29" s="591"/>
      <c r="D29" s="501"/>
      <c r="E29" s="84"/>
      <c r="F29" s="84"/>
      <c r="G29" s="591"/>
      <c r="H29" s="513"/>
    </row>
    <row r="30" spans="3:8" ht="15">
      <c r="C30" s="592"/>
      <c r="D30" s="501"/>
      <c r="E30" s="84"/>
      <c r="F30" s="84"/>
      <c r="G30" s="592"/>
      <c r="H30" s="513"/>
    </row>
  </sheetData>
  <sheetProtection/>
  <mergeCells count="24">
    <mergeCell ref="U1:V1"/>
    <mergeCell ref="E2:P2"/>
    <mergeCell ref="C4:Q4"/>
    <mergeCell ref="S8:V8"/>
    <mergeCell ref="A8:A10"/>
    <mergeCell ref="B8:B10"/>
    <mergeCell ref="R27:T27"/>
    <mergeCell ref="O9:O10"/>
    <mergeCell ref="P9:R9"/>
    <mergeCell ref="S9:S10"/>
    <mergeCell ref="T9:V9"/>
    <mergeCell ref="S22:V22"/>
    <mergeCell ref="S24:T24"/>
    <mergeCell ref="A21:V21"/>
    <mergeCell ref="C9:C10"/>
    <mergeCell ref="D9:F9"/>
    <mergeCell ref="C8:F8"/>
    <mergeCell ref="G8:J8"/>
    <mergeCell ref="K8:N8"/>
    <mergeCell ref="O8:R8"/>
    <mergeCell ref="G9:G10"/>
    <mergeCell ref="H9:J9"/>
    <mergeCell ref="K9:K10"/>
    <mergeCell ref="L9:N9"/>
  </mergeCells>
  <printOptions/>
  <pageMargins left="0.6" right="0.2" top="0.75" bottom="0.75" header="0.3" footer="0.3"/>
  <pageSetup horizontalDpi="600" verticalDpi="600" orientation="landscape" paperSize="9" scale="80" r:id="rId1"/>
</worksheet>
</file>

<file path=xl/worksheets/sheet67.xml><?xml version="1.0" encoding="utf-8"?>
<worksheet xmlns="http://schemas.openxmlformats.org/spreadsheetml/2006/main" xmlns:r="http://schemas.openxmlformats.org/officeDocument/2006/relationships">
  <sheetPr>
    <pageSetUpPr fitToPage="1"/>
  </sheetPr>
  <dimension ref="A1:S28"/>
  <sheetViews>
    <sheetView view="pageBreakPreview" zoomScale="90" zoomScaleSheetLayoutView="90" zoomScalePageLayoutView="0" workbookViewId="0" topLeftCell="A1">
      <selection activeCell="B8" sqref="B8:B10"/>
    </sheetView>
  </sheetViews>
  <sheetFormatPr defaultColWidth="8.8515625" defaultRowHeight="12.75"/>
  <cols>
    <col min="1" max="1" width="4.421875" style="76" customWidth="1"/>
    <col min="2" max="2" width="11.00390625" style="76" customWidth="1"/>
    <col min="3" max="3" width="12.140625" style="76" customWidth="1"/>
    <col min="4" max="4" width="12.8515625" style="76" customWidth="1"/>
    <col min="5" max="5" width="12.421875" style="76" customWidth="1"/>
    <col min="6" max="6" width="16.421875" style="76" customWidth="1"/>
    <col min="7" max="8" width="11.8515625" style="76" customWidth="1"/>
    <col min="9" max="9" width="14.8515625" style="76" customWidth="1"/>
    <col min="10" max="10" width="16.421875" style="76" customWidth="1"/>
    <col min="11" max="11" width="16.8515625" style="76" customWidth="1"/>
    <col min="12" max="12" width="16.28125" style="76" customWidth="1"/>
    <col min="13" max="16384" width="8.8515625" style="76" customWidth="1"/>
  </cols>
  <sheetData>
    <row r="1" spans="2:12" ht="15">
      <c r="B1" s="16"/>
      <c r="C1" s="16"/>
      <c r="D1" s="16"/>
      <c r="E1" s="16"/>
      <c r="F1" s="1"/>
      <c r="G1" s="1"/>
      <c r="H1" s="16"/>
      <c r="J1" s="42"/>
      <c r="K1" s="744" t="s">
        <v>746</v>
      </c>
      <c r="L1" s="744"/>
    </row>
    <row r="2" spans="1:12" ht="15.75">
      <c r="A2" s="644" t="s">
        <v>0</v>
      </c>
      <c r="B2" s="644"/>
      <c r="C2" s="644"/>
      <c r="D2" s="644"/>
      <c r="E2" s="644"/>
      <c r="F2" s="644"/>
      <c r="G2" s="644"/>
      <c r="H2" s="644"/>
      <c r="I2" s="644"/>
      <c r="J2" s="644"/>
      <c r="K2" s="644"/>
      <c r="L2" s="644"/>
    </row>
    <row r="3" spans="1:12" ht="20.25">
      <c r="A3" s="645" t="s">
        <v>854</v>
      </c>
      <c r="B3" s="645"/>
      <c r="C3" s="645"/>
      <c r="D3" s="645"/>
      <c r="E3" s="645"/>
      <c r="F3" s="645"/>
      <c r="G3" s="645"/>
      <c r="H3" s="645"/>
      <c r="I3" s="645"/>
      <c r="J3" s="645"/>
      <c r="K3" s="645"/>
      <c r="L3" s="645"/>
    </row>
    <row r="4" spans="2:10" ht="20.25">
      <c r="B4" s="123"/>
      <c r="C4" s="123"/>
      <c r="D4" s="123"/>
      <c r="E4" s="123"/>
      <c r="F4" s="123"/>
      <c r="G4" s="123"/>
      <c r="H4" s="123"/>
      <c r="I4" s="123"/>
      <c r="J4" s="123"/>
    </row>
    <row r="5" spans="1:12" ht="15" customHeight="1">
      <c r="A5" s="1053" t="s">
        <v>974</v>
      </c>
      <c r="B5" s="1053"/>
      <c r="C5" s="1053"/>
      <c r="D5" s="1053"/>
      <c r="E5" s="1053"/>
      <c r="F5" s="1053"/>
      <c r="G5" s="1053"/>
      <c r="H5" s="1053"/>
      <c r="I5" s="1053"/>
      <c r="J5" s="1053"/>
      <c r="K5" s="1053"/>
      <c r="L5" s="1053"/>
    </row>
    <row r="6" spans="1:12" ht="15" customHeight="1">
      <c r="A6" s="699" t="s">
        <v>475</v>
      </c>
      <c r="B6" s="699"/>
      <c r="C6" s="297"/>
      <c r="D6" s="297"/>
      <c r="E6" s="297"/>
      <c r="F6" s="297"/>
      <c r="G6" s="297"/>
      <c r="H6" s="297"/>
      <c r="I6" s="297"/>
      <c r="J6" s="297"/>
      <c r="K6" s="297"/>
      <c r="L6" s="297"/>
    </row>
    <row r="7" ht="14.25">
      <c r="C7" s="29"/>
    </row>
    <row r="8" spans="1:12" s="305" customFormat="1" ht="15" customHeight="1">
      <c r="A8" s="1018" t="s">
        <v>748</v>
      </c>
      <c r="B8" s="1018" t="s">
        <v>3</v>
      </c>
      <c r="C8" s="1033" t="s">
        <v>22</v>
      </c>
      <c r="D8" s="1033"/>
      <c r="E8" s="1033"/>
      <c r="F8" s="1033"/>
      <c r="G8" s="1038" t="s">
        <v>23</v>
      </c>
      <c r="H8" s="1039"/>
      <c r="I8" s="1039"/>
      <c r="J8" s="1040"/>
      <c r="K8" s="1018" t="s">
        <v>388</v>
      </c>
      <c r="L8" s="1023" t="s">
        <v>804</v>
      </c>
    </row>
    <row r="9" spans="1:12" s="305" customFormat="1" ht="23.25" customHeight="1">
      <c r="A9" s="1054"/>
      <c r="B9" s="1054"/>
      <c r="C9" s="1023" t="s">
        <v>244</v>
      </c>
      <c r="D9" s="1018" t="s">
        <v>443</v>
      </c>
      <c r="E9" s="1056" t="s">
        <v>92</v>
      </c>
      <c r="F9" s="1022"/>
      <c r="G9" s="1019" t="s">
        <v>244</v>
      </c>
      <c r="H9" s="1023" t="s">
        <v>443</v>
      </c>
      <c r="I9" s="1051" t="s">
        <v>92</v>
      </c>
      <c r="J9" s="1052"/>
      <c r="K9" s="1054"/>
      <c r="L9" s="1023"/>
    </row>
    <row r="10" spans="1:15" s="305" customFormat="1" ht="57" customHeight="1">
      <c r="A10" s="1019"/>
      <c r="B10" s="1019"/>
      <c r="C10" s="1023"/>
      <c r="D10" s="1019"/>
      <c r="E10" s="299" t="s">
        <v>929</v>
      </c>
      <c r="F10" s="299" t="s">
        <v>444</v>
      </c>
      <c r="G10" s="1023"/>
      <c r="H10" s="1023"/>
      <c r="I10" s="299" t="s">
        <v>929</v>
      </c>
      <c r="J10" s="299" t="s">
        <v>444</v>
      </c>
      <c r="K10" s="1019"/>
      <c r="L10" s="1023"/>
      <c r="M10" s="306"/>
      <c r="N10" s="306"/>
      <c r="O10" s="306"/>
    </row>
    <row r="11" spans="1:15" ht="14.25">
      <c r="A11" s="146">
        <v>1</v>
      </c>
      <c r="B11" s="145">
        <v>2</v>
      </c>
      <c r="C11" s="146">
        <v>3</v>
      </c>
      <c r="D11" s="145">
        <v>4</v>
      </c>
      <c r="E11" s="146">
        <v>5</v>
      </c>
      <c r="F11" s="145">
        <v>6</v>
      </c>
      <c r="G11" s="146">
        <v>7</v>
      </c>
      <c r="H11" s="145">
        <v>8</v>
      </c>
      <c r="I11" s="146">
        <v>9</v>
      </c>
      <c r="J11" s="145">
        <v>10</v>
      </c>
      <c r="K11" s="146" t="s">
        <v>747</v>
      </c>
      <c r="L11" s="145">
        <v>12</v>
      </c>
      <c r="M11" s="111"/>
      <c r="N11" s="111"/>
      <c r="O11" s="111"/>
    </row>
    <row r="12" spans="1:19" s="109" customFormat="1" ht="14.25">
      <c r="A12" s="8">
        <v>1</v>
      </c>
      <c r="B12" s="19" t="s">
        <v>476</v>
      </c>
      <c r="C12" s="110">
        <f>'enrolment vs availed_PY'!G11</f>
        <v>50253</v>
      </c>
      <c r="D12" s="110">
        <f>'AT-8_Hon_CCH_Pry'!C14</f>
        <v>1159</v>
      </c>
      <c r="E12" s="590">
        <v>1213</v>
      </c>
      <c r="F12" s="110">
        <v>0</v>
      </c>
      <c r="G12" s="110">
        <f>'enrolment vs availed_UPY'!G11</f>
        <v>33955</v>
      </c>
      <c r="H12" s="110">
        <f>'AT-8A_Hon_CCH_UPry'!C13</f>
        <v>629</v>
      </c>
      <c r="I12" s="590">
        <v>582</v>
      </c>
      <c r="J12" s="110">
        <v>0</v>
      </c>
      <c r="K12" s="109">
        <f>E12+F12+I12+J12</f>
        <v>1795</v>
      </c>
      <c r="L12" s="363">
        <f>K12*1500*10/100000</f>
        <v>269.25</v>
      </c>
      <c r="M12" s="111"/>
      <c r="N12" s="111"/>
      <c r="O12" s="111"/>
      <c r="P12" s="111"/>
      <c r="Q12" s="111"/>
      <c r="R12" s="111"/>
      <c r="S12" s="111"/>
    </row>
    <row r="13" spans="1:15" ht="14.25">
      <c r="A13" s="8">
        <v>2</v>
      </c>
      <c r="B13" s="19" t="s">
        <v>477</v>
      </c>
      <c r="C13" s="110">
        <f>'enrolment vs availed_PY'!G12</f>
        <v>36987</v>
      </c>
      <c r="D13" s="110">
        <f>'AT-8_Hon_CCH_Pry'!C15</f>
        <v>1014</v>
      </c>
      <c r="E13" s="590">
        <v>1004</v>
      </c>
      <c r="F13" s="110">
        <v>0</v>
      </c>
      <c r="G13" s="110">
        <f>'enrolment vs availed_UPY'!G12</f>
        <v>24018</v>
      </c>
      <c r="H13" s="110">
        <f>'AT-8A_Hon_CCH_UPry'!C14</f>
        <v>512</v>
      </c>
      <c r="I13" s="590">
        <v>515</v>
      </c>
      <c r="J13" s="110">
        <v>0</v>
      </c>
      <c r="K13" s="109">
        <f aca="true" t="shared" si="0" ref="K13:K19">E13+F13+I13+J13</f>
        <v>1519</v>
      </c>
      <c r="L13" s="363">
        <f aca="true" t="shared" si="1" ref="L13:L19">K13*1500*10/100000</f>
        <v>227.85</v>
      </c>
      <c r="M13" s="111"/>
      <c r="N13" s="111"/>
      <c r="O13" s="111"/>
    </row>
    <row r="14" spans="1:15" ht="14.25">
      <c r="A14" s="8">
        <v>3</v>
      </c>
      <c r="B14" s="19" t="s">
        <v>478</v>
      </c>
      <c r="C14" s="110">
        <f>'enrolment vs availed_PY'!G13</f>
        <v>21656</v>
      </c>
      <c r="D14" s="110">
        <f>'AT-8_Hon_CCH_Pry'!C16</f>
        <v>670</v>
      </c>
      <c r="E14" s="590">
        <v>656</v>
      </c>
      <c r="F14" s="110">
        <v>0</v>
      </c>
      <c r="G14" s="110">
        <f>'enrolment vs availed_UPY'!G13</f>
        <v>14852</v>
      </c>
      <c r="H14" s="110">
        <f>'AT-8A_Hon_CCH_UPry'!C15</f>
        <v>386</v>
      </c>
      <c r="I14" s="590">
        <v>388</v>
      </c>
      <c r="J14" s="110">
        <v>0</v>
      </c>
      <c r="K14" s="109">
        <f t="shared" si="0"/>
        <v>1044</v>
      </c>
      <c r="L14" s="363">
        <f t="shared" si="1"/>
        <v>156.6</v>
      </c>
      <c r="M14" s="111"/>
      <c r="N14" s="111"/>
      <c r="O14" s="111"/>
    </row>
    <row r="15" spans="1:12" ht="14.25">
      <c r="A15" s="8">
        <v>4</v>
      </c>
      <c r="B15" s="19" t="s">
        <v>479</v>
      </c>
      <c r="C15" s="110">
        <f>'enrolment vs availed_PY'!G14</f>
        <v>31154</v>
      </c>
      <c r="D15" s="110">
        <f>'AT-8_Hon_CCH_Pry'!C17</f>
        <v>791</v>
      </c>
      <c r="E15" s="590">
        <v>812</v>
      </c>
      <c r="F15" s="110">
        <v>0</v>
      </c>
      <c r="G15" s="110">
        <f>'enrolment vs availed_UPY'!G14</f>
        <v>20824</v>
      </c>
      <c r="H15" s="110">
        <f>'AT-8A_Hon_CCH_UPry'!C16</f>
        <v>424</v>
      </c>
      <c r="I15" s="590">
        <v>416</v>
      </c>
      <c r="J15" s="110">
        <v>0</v>
      </c>
      <c r="K15" s="109">
        <f t="shared" si="0"/>
        <v>1228</v>
      </c>
      <c r="L15" s="363">
        <f t="shared" si="1"/>
        <v>184.2</v>
      </c>
    </row>
    <row r="16" spans="1:14" ht="14.25">
      <c r="A16" s="8">
        <v>5</v>
      </c>
      <c r="B16" s="19" t="s">
        <v>480</v>
      </c>
      <c r="C16" s="110">
        <f>'enrolment vs availed_PY'!G15</f>
        <v>31847</v>
      </c>
      <c r="D16" s="110">
        <f>'AT-8_Hon_CCH_Pry'!C18</f>
        <v>990</v>
      </c>
      <c r="E16" s="590">
        <v>946</v>
      </c>
      <c r="F16" s="110">
        <v>0</v>
      </c>
      <c r="G16" s="110">
        <f>'enrolment vs availed_UPY'!G15</f>
        <v>22810</v>
      </c>
      <c r="H16" s="110">
        <f>'AT-8A_Hon_CCH_UPry'!C17</f>
        <v>532</v>
      </c>
      <c r="I16" s="590">
        <v>574</v>
      </c>
      <c r="J16" s="110">
        <v>0</v>
      </c>
      <c r="K16" s="109">
        <f t="shared" si="0"/>
        <v>1520</v>
      </c>
      <c r="L16" s="363">
        <f t="shared" si="1"/>
        <v>228</v>
      </c>
      <c r="N16" s="76" t="s">
        <v>10</v>
      </c>
    </row>
    <row r="17" spans="1:12" ht="14.25">
      <c r="A17" s="8">
        <v>6</v>
      </c>
      <c r="B17" s="19" t="s">
        <v>481</v>
      </c>
      <c r="C17" s="110">
        <f>'enrolment vs availed_PY'!G16</f>
        <v>25046</v>
      </c>
      <c r="D17" s="110">
        <f>'AT-8_Hon_CCH_Pry'!C19</f>
        <v>610</v>
      </c>
      <c r="E17" s="590">
        <v>621</v>
      </c>
      <c r="F17" s="110">
        <v>0</v>
      </c>
      <c r="G17" s="110">
        <f>'enrolment vs availed_UPY'!G16</f>
        <v>15456</v>
      </c>
      <c r="H17" s="110">
        <f>'AT-8A_Hon_CCH_UPry'!C18</f>
        <v>286</v>
      </c>
      <c r="I17" s="590">
        <v>274</v>
      </c>
      <c r="J17" s="110">
        <v>0</v>
      </c>
      <c r="K17" s="109">
        <f t="shared" si="0"/>
        <v>895</v>
      </c>
      <c r="L17" s="363">
        <f t="shared" si="1"/>
        <v>134.25</v>
      </c>
    </row>
    <row r="18" spans="1:12" ht="14.25">
      <c r="A18" s="8">
        <v>7</v>
      </c>
      <c r="B18" s="19" t="s">
        <v>482</v>
      </c>
      <c r="C18" s="110">
        <f>'enrolment vs availed_PY'!G17</f>
        <v>39120</v>
      </c>
      <c r="D18" s="110">
        <f>'AT-8_Hon_CCH_Pry'!C20</f>
        <v>873</v>
      </c>
      <c r="E18" s="590">
        <v>966</v>
      </c>
      <c r="F18" s="110">
        <v>0</v>
      </c>
      <c r="G18" s="110">
        <f>'enrolment vs availed_UPY'!G17</f>
        <v>21078</v>
      </c>
      <c r="H18" s="110">
        <f>'AT-8A_Hon_CCH_UPry'!C19</f>
        <v>434</v>
      </c>
      <c r="I18" s="590">
        <v>360</v>
      </c>
      <c r="J18" s="110">
        <v>0</v>
      </c>
      <c r="K18" s="109">
        <f t="shared" si="0"/>
        <v>1326</v>
      </c>
      <c r="L18" s="363">
        <f t="shared" si="1"/>
        <v>198.9</v>
      </c>
    </row>
    <row r="19" spans="1:12" ht="14.25">
      <c r="A19" s="8">
        <v>8</v>
      </c>
      <c r="B19" s="19" t="s">
        <v>483</v>
      </c>
      <c r="C19" s="110">
        <f>'enrolment vs availed_PY'!G18</f>
        <v>36349</v>
      </c>
      <c r="D19" s="110">
        <f>'AT-8_Hon_CCH_Pry'!C21</f>
        <v>1180</v>
      </c>
      <c r="E19" s="590">
        <v>1116</v>
      </c>
      <c r="F19" s="110">
        <v>0</v>
      </c>
      <c r="G19" s="110">
        <f>'enrolment vs availed_UPY'!G18</f>
        <v>20821</v>
      </c>
      <c r="H19" s="110">
        <f>'AT-8A_Hon_CCH_UPry'!C20</f>
        <v>538</v>
      </c>
      <c r="I19" s="590">
        <v>585</v>
      </c>
      <c r="J19" s="110">
        <v>0</v>
      </c>
      <c r="K19" s="109">
        <f t="shared" si="0"/>
        <v>1701</v>
      </c>
      <c r="L19" s="363">
        <f t="shared" si="1"/>
        <v>255.15</v>
      </c>
    </row>
    <row r="20" spans="1:12" ht="14.25">
      <c r="A20" s="3"/>
      <c r="B20" s="27" t="s">
        <v>484</v>
      </c>
      <c r="C20" s="109">
        <f>SUM(C12:C19)</f>
        <v>272412</v>
      </c>
      <c r="D20" s="109">
        <f aca="true" t="shared" si="2" ref="D20:K20">SUM(D12:D19)</f>
        <v>7287</v>
      </c>
      <c r="E20" s="109">
        <f t="shared" si="2"/>
        <v>7334</v>
      </c>
      <c r="F20" s="636">
        <f t="shared" si="2"/>
        <v>0</v>
      </c>
      <c r="G20" s="109">
        <f t="shared" si="2"/>
        <v>173814</v>
      </c>
      <c r="H20" s="109">
        <f t="shared" si="2"/>
        <v>3741</v>
      </c>
      <c r="I20" s="109">
        <f t="shared" si="2"/>
        <v>3694</v>
      </c>
      <c r="J20" s="636">
        <f t="shared" si="2"/>
        <v>0</v>
      </c>
      <c r="K20" s="109">
        <f t="shared" si="2"/>
        <v>11028</v>
      </c>
      <c r="L20" s="364">
        <f>SUM(L12:L19)</f>
        <v>1654.2000000000003</v>
      </c>
    </row>
    <row r="21" spans="1:12" s="532" customFormat="1" ht="17.25" customHeight="1">
      <c r="A21" s="1055" t="s">
        <v>805</v>
      </c>
      <c r="B21" s="1055"/>
      <c r="C21" s="1055"/>
      <c r="D21" s="1055"/>
      <c r="E21" s="1055"/>
      <c r="F21" s="1055"/>
      <c r="G21" s="1055"/>
      <c r="H21" s="1055"/>
      <c r="I21" s="1055"/>
      <c r="J21" s="1055"/>
      <c r="K21" s="1055"/>
      <c r="L21" s="1055"/>
    </row>
    <row r="22" spans="1:12" s="532" customFormat="1" ht="17.25" customHeight="1">
      <c r="A22" s="1057" t="s">
        <v>806</v>
      </c>
      <c r="B22" s="1057"/>
      <c r="C22" s="1057"/>
      <c r="D22" s="1057"/>
      <c r="E22" s="1057"/>
      <c r="F22" s="1057"/>
      <c r="G22" s="1057"/>
      <c r="H22" s="1057"/>
      <c r="I22" s="1057"/>
      <c r="J22" s="1057"/>
      <c r="K22" s="1057"/>
      <c r="L22" s="1057"/>
    </row>
    <row r="23" spans="1:12" ht="17.25" customHeight="1">
      <c r="A23" s="531"/>
      <c r="B23" s="531"/>
      <c r="C23" s="531"/>
      <c r="D23" s="531"/>
      <c r="E23" s="531"/>
      <c r="F23" s="531"/>
      <c r="G23" s="531"/>
      <c r="H23" s="531"/>
      <c r="I23" s="531"/>
      <c r="J23" s="531"/>
      <c r="K23" s="531"/>
      <c r="L23" s="531" t="s">
        <v>1062</v>
      </c>
    </row>
    <row r="24" ht="14.25">
      <c r="F24" s="76" t="s">
        <v>10</v>
      </c>
    </row>
    <row r="25" spans="1:15" s="16" customFormat="1" ht="15.75" customHeight="1">
      <c r="A25" s="697" t="s">
        <v>11</v>
      </c>
      <c r="B25" s="697"/>
      <c r="C25" s="1"/>
      <c r="D25" s="15"/>
      <c r="E25" s="15"/>
      <c r="H25" s="85"/>
      <c r="I25" s="667"/>
      <c r="J25" s="667"/>
      <c r="K25" s="667"/>
      <c r="L25" s="667"/>
      <c r="M25" s="86"/>
      <c r="N25" s="86"/>
      <c r="O25" s="86"/>
    </row>
    <row r="26" spans="7:19" s="16" customFormat="1" ht="12.75" customHeight="1">
      <c r="G26" s="16" t="s">
        <v>10</v>
      </c>
      <c r="I26" s="697" t="s">
        <v>819</v>
      </c>
      <c r="J26" s="697"/>
      <c r="K26" s="697"/>
      <c r="L26" s="697"/>
      <c r="M26" s="31"/>
      <c r="N26" s="31"/>
      <c r="O26" s="31"/>
      <c r="P26" s="85"/>
      <c r="Q26" s="85"/>
      <c r="R26" s="85"/>
      <c r="S26" s="85"/>
    </row>
    <row r="27" spans="9:19" s="16" customFormat="1" ht="12.75">
      <c r="I27" s="697" t="s">
        <v>487</v>
      </c>
      <c r="J27" s="697"/>
      <c r="K27" s="697"/>
      <c r="L27" s="697"/>
      <c r="M27" s="31"/>
      <c r="N27" s="31"/>
      <c r="O27" s="31"/>
      <c r="P27" s="85"/>
      <c r="Q27" s="85"/>
      <c r="R27" s="85"/>
      <c r="S27" s="85"/>
    </row>
    <row r="28" spans="2:15" s="16" customFormat="1" ht="12.75">
      <c r="B28" s="15"/>
      <c r="C28" s="15"/>
      <c r="D28" s="15"/>
      <c r="E28" s="15"/>
      <c r="I28" s="31"/>
      <c r="J28" s="31" t="s">
        <v>550</v>
      </c>
      <c r="K28" s="31"/>
      <c r="L28" s="31"/>
      <c r="M28" s="31"/>
      <c r="N28" s="31"/>
      <c r="O28" s="31"/>
    </row>
  </sheetData>
  <sheetProtection/>
  <mergeCells count="23">
    <mergeCell ref="I26:L26"/>
    <mergeCell ref="I27:L27"/>
    <mergeCell ref="A8:A10"/>
    <mergeCell ref="B8:B10"/>
    <mergeCell ref="D9:D10"/>
    <mergeCell ref="E9:F9"/>
    <mergeCell ref="A22:L22"/>
    <mergeCell ref="K1:L1"/>
    <mergeCell ref="G8:J8"/>
    <mergeCell ref="A25:B25"/>
    <mergeCell ref="I25:L25"/>
    <mergeCell ref="A5:L5"/>
    <mergeCell ref="K8:K10"/>
    <mergeCell ref="A21:L21"/>
    <mergeCell ref="C8:F8"/>
    <mergeCell ref="A6:B6"/>
    <mergeCell ref="L8:L10"/>
    <mergeCell ref="A2:L2"/>
    <mergeCell ref="A3:L3"/>
    <mergeCell ref="H9:H10"/>
    <mergeCell ref="G9:G10"/>
    <mergeCell ref="I9:J9"/>
    <mergeCell ref="C9:C10"/>
  </mergeCells>
  <printOptions horizontalCentered="1"/>
  <pageMargins left="0.7086614173228347" right="0.24" top="1.12" bottom="0" header="0.75" footer="0.31496062992125984"/>
  <pageSetup fitToHeight="1" fitToWidth="1" horizontalDpi="600" verticalDpi="600" orientation="landscape" paperSize="9" scale="88" r:id="rId1"/>
</worksheet>
</file>

<file path=xl/worksheets/sheet68.xml><?xml version="1.0" encoding="utf-8"?>
<worksheet xmlns="http://schemas.openxmlformats.org/spreadsheetml/2006/main" xmlns:r="http://schemas.openxmlformats.org/officeDocument/2006/relationships">
  <sheetPr>
    <pageSetUpPr fitToPage="1"/>
  </sheetPr>
  <dimension ref="A1:IN52"/>
  <sheetViews>
    <sheetView view="pageBreakPreview" zoomScaleSheetLayoutView="100" zoomScalePageLayoutView="0" workbookViewId="0" topLeftCell="A7">
      <selection activeCell="B10" sqref="B10:B12"/>
    </sheetView>
  </sheetViews>
  <sheetFormatPr defaultColWidth="9.140625" defaultRowHeight="12.75"/>
  <cols>
    <col min="1" max="1" width="4.57421875" style="164" customWidth="1"/>
    <col min="2" max="2" width="40.57421875" style="164" customWidth="1"/>
    <col min="3" max="4" width="7.8515625" style="164" customWidth="1"/>
    <col min="5" max="5" width="8.57421875" style="164" customWidth="1"/>
    <col min="6" max="11" width="7.8515625" style="164" customWidth="1"/>
    <col min="12" max="23" width="8.00390625" style="164" customWidth="1"/>
    <col min="24" max="24" width="10.00390625" style="164" bestFit="1" customWidth="1"/>
    <col min="25" max="16384" width="9.140625" style="164" customWidth="1"/>
  </cols>
  <sheetData>
    <row r="1" spans="15:21" ht="15">
      <c r="O1" s="1082" t="s">
        <v>749</v>
      </c>
      <c r="P1" s="1082"/>
      <c r="Q1" s="1082"/>
      <c r="R1" s="1082"/>
      <c r="S1" s="1082"/>
      <c r="T1" s="1082"/>
      <c r="U1" s="1082"/>
    </row>
    <row r="2" spans="1:24" ht="15.75">
      <c r="A2" s="1074" t="s">
        <v>0</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row>
    <row r="3" spans="6:21" ht="15.75">
      <c r="F3" s="165"/>
      <c r="G3" s="165"/>
      <c r="H3" s="165"/>
      <c r="I3" s="166"/>
      <c r="J3" s="166"/>
      <c r="K3" s="166"/>
      <c r="L3" s="166"/>
      <c r="M3" s="166"/>
      <c r="N3" s="166"/>
      <c r="O3" s="166"/>
      <c r="P3" s="166"/>
      <c r="Q3" s="166"/>
      <c r="R3" s="166"/>
      <c r="S3" s="166"/>
      <c r="T3" s="166"/>
      <c r="U3" s="166"/>
    </row>
    <row r="4" spans="1:24" ht="18">
      <c r="A4" s="1077" t="s">
        <v>854</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row>
    <row r="5" ht="12.75">
      <c r="C5" s="164" t="s">
        <v>10</v>
      </c>
    </row>
    <row r="6" spans="1:24" ht="15.75">
      <c r="A6" s="1078" t="s">
        <v>975</v>
      </c>
      <c r="B6" s="1078"/>
      <c r="C6" s="1078"/>
      <c r="D6" s="1078"/>
      <c r="E6" s="1078"/>
      <c r="F6" s="1078"/>
      <c r="G6" s="1078"/>
      <c r="H6" s="1078"/>
      <c r="I6" s="1078"/>
      <c r="J6" s="1078"/>
      <c r="K6" s="1078"/>
      <c r="L6" s="1078"/>
      <c r="M6" s="1078"/>
      <c r="N6" s="1078"/>
      <c r="O6" s="1078"/>
      <c r="P6" s="1078"/>
      <c r="Q6" s="1078"/>
      <c r="R6" s="1078"/>
      <c r="S6" s="1078"/>
      <c r="T6" s="1078"/>
      <c r="U6" s="1078"/>
      <c r="V6" s="1078"/>
      <c r="W6" s="1078"/>
      <c r="X6" s="1078"/>
    </row>
    <row r="8" spans="1:2" ht="12.75">
      <c r="A8" s="699" t="s">
        <v>475</v>
      </c>
      <c r="B8" s="699"/>
    </row>
    <row r="9" spans="1:23" ht="18">
      <c r="A9" s="167"/>
      <c r="B9" s="167"/>
      <c r="V9" s="1079" t="s">
        <v>252</v>
      </c>
      <c r="W9" s="1079"/>
    </row>
    <row r="10" spans="1:248" s="407" customFormat="1" ht="12.75" customHeight="1">
      <c r="A10" s="1071" t="s">
        <v>817</v>
      </c>
      <c r="B10" s="1071" t="s">
        <v>104</v>
      </c>
      <c r="C10" s="1065" t="s">
        <v>22</v>
      </c>
      <c r="D10" s="1066"/>
      <c r="E10" s="1066"/>
      <c r="F10" s="1066"/>
      <c r="G10" s="1066"/>
      <c r="H10" s="1066"/>
      <c r="I10" s="1066"/>
      <c r="J10" s="1066"/>
      <c r="K10" s="1067"/>
      <c r="L10" s="1065" t="s">
        <v>23</v>
      </c>
      <c r="M10" s="1066"/>
      <c r="N10" s="1066"/>
      <c r="O10" s="1066"/>
      <c r="P10" s="1066"/>
      <c r="Q10" s="1066"/>
      <c r="R10" s="1066"/>
      <c r="S10" s="1066"/>
      <c r="T10" s="1067"/>
      <c r="U10" s="1061" t="s">
        <v>140</v>
      </c>
      <c r="V10" s="1061"/>
      <c r="W10" s="1061"/>
      <c r="X10" s="1080" t="s">
        <v>15</v>
      </c>
      <c r="Y10" s="405"/>
      <c r="Z10" s="405"/>
      <c r="AA10" s="405"/>
      <c r="AB10" s="405"/>
      <c r="AC10" s="406"/>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c r="CV10" s="405"/>
      <c r="CW10" s="405"/>
      <c r="CX10" s="405"/>
      <c r="CY10" s="405"/>
      <c r="CZ10" s="405"/>
      <c r="DA10" s="405"/>
      <c r="DB10" s="405"/>
      <c r="DC10" s="405"/>
      <c r="DD10" s="405"/>
      <c r="DE10" s="405"/>
      <c r="DF10" s="405"/>
      <c r="DG10" s="405"/>
      <c r="DH10" s="405"/>
      <c r="DI10" s="405"/>
      <c r="DJ10" s="405"/>
      <c r="DK10" s="405"/>
      <c r="DL10" s="405"/>
      <c r="DM10" s="405"/>
      <c r="DN10" s="405"/>
      <c r="DO10" s="405"/>
      <c r="DP10" s="405"/>
      <c r="DQ10" s="405"/>
      <c r="DR10" s="405"/>
      <c r="DS10" s="405"/>
      <c r="DT10" s="405"/>
      <c r="DU10" s="405"/>
      <c r="DV10" s="405"/>
      <c r="DW10" s="405"/>
      <c r="DX10" s="405"/>
      <c r="DY10" s="405"/>
      <c r="DZ10" s="405"/>
      <c r="EA10" s="405"/>
      <c r="EB10" s="405"/>
      <c r="EC10" s="405"/>
      <c r="ED10" s="405"/>
      <c r="EE10" s="405"/>
      <c r="EF10" s="405"/>
      <c r="EG10" s="405"/>
      <c r="EH10" s="405"/>
      <c r="EI10" s="405"/>
      <c r="EJ10" s="405"/>
      <c r="EK10" s="405"/>
      <c r="EL10" s="405"/>
      <c r="EM10" s="405"/>
      <c r="EN10" s="405"/>
      <c r="EO10" s="405"/>
      <c r="EP10" s="405"/>
      <c r="EQ10" s="405"/>
      <c r="ER10" s="405"/>
      <c r="ES10" s="405"/>
      <c r="ET10" s="405"/>
      <c r="EU10" s="405"/>
      <c r="EV10" s="405"/>
      <c r="EW10" s="405"/>
      <c r="EX10" s="405"/>
      <c r="EY10" s="405"/>
      <c r="EZ10" s="405"/>
      <c r="FA10" s="405"/>
      <c r="FB10" s="405"/>
      <c r="FC10" s="405"/>
      <c r="FD10" s="405"/>
      <c r="FE10" s="405"/>
      <c r="FF10" s="405"/>
      <c r="FG10" s="405"/>
      <c r="FH10" s="405"/>
      <c r="FI10" s="405"/>
      <c r="FJ10" s="405"/>
      <c r="FK10" s="405"/>
      <c r="FL10" s="405"/>
      <c r="FM10" s="405"/>
      <c r="FN10" s="405"/>
      <c r="FO10" s="405"/>
      <c r="FP10" s="405"/>
      <c r="FQ10" s="405"/>
      <c r="FR10" s="405"/>
      <c r="FS10" s="405"/>
      <c r="FT10" s="405"/>
      <c r="FU10" s="405"/>
      <c r="FV10" s="405"/>
      <c r="FW10" s="405"/>
      <c r="FX10" s="405"/>
      <c r="FY10" s="405"/>
      <c r="FZ10" s="405"/>
      <c r="GA10" s="405"/>
      <c r="GB10" s="405"/>
      <c r="GC10" s="405"/>
      <c r="GD10" s="405"/>
      <c r="GE10" s="405"/>
      <c r="GF10" s="405"/>
      <c r="GG10" s="405"/>
      <c r="GH10" s="405"/>
      <c r="GI10" s="405"/>
      <c r="GJ10" s="405"/>
      <c r="GK10" s="405"/>
      <c r="GL10" s="405"/>
      <c r="GM10" s="405"/>
      <c r="GN10" s="405"/>
      <c r="GO10" s="405"/>
      <c r="GP10" s="405"/>
      <c r="GQ10" s="405"/>
      <c r="GR10" s="405"/>
      <c r="GS10" s="405"/>
      <c r="GT10" s="405"/>
      <c r="GU10" s="405"/>
      <c r="GV10" s="405"/>
      <c r="GW10" s="405"/>
      <c r="GX10" s="405"/>
      <c r="GY10" s="405"/>
      <c r="GZ10" s="405"/>
      <c r="HA10" s="405"/>
      <c r="HB10" s="405"/>
      <c r="HC10" s="405"/>
      <c r="HD10" s="405"/>
      <c r="HE10" s="405"/>
      <c r="HF10" s="405"/>
      <c r="HG10" s="405"/>
      <c r="HH10" s="405"/>
      <c r="HI10" s="405"/>
      <c r="HJ10" s="405"/>
      <c r="HK10" s="405"/>
      <c r="HL10" s="405"/>
      <c r="HM10" s="405"/>
      <c r="HN10" s="405"/>
      <c r="HO10" s="405"/>
      <c r="HP10" s="405"/>
      <c r="HQ10" s="405"/>
      <c r="HR10" s="405"/>
      <c r="HS10" s="405"/>
      <c r="HT10" s="405"/>
      <c r="HU10" s="405"/>
      <c r="HV10" s="405"/>
      <c r="HW10" s="405"/>
      <c r="HX10" s="405"/>
      <c r="HY10" s="405"/>
      <c r="HZ10" s="405"/>
      <c r="IA10" s="405"/>
      <c r="IB10" s="405"/>
      <c r="IC10" s="405"/>
      <c r="ID10" s="405"/>
      <c r="IE10" s="405"/>
      <c r="IF10" s="405"/>
      <c r="IG10" s="405"/>
      <c r="IH10" s="405"/>
      <c r="II10" s="405"/>
      <c r="IJ10" s="405"/>
      <c r="IK10" s="405"/>
      <c r="IL10" s="405"/>
      <c r="IM10" s="405"/>
      <c r="IN10" s="405"/>
    </row>
    <row r="11" spans="1:248" s="407" customFormat="1" ht="12.75" customHeight="1">
      <c r="A11" s="1072"/>
      <c r="B11" s="1072"/>
      <c r="C11" s="1068" t="s">
        <v>173</v>
      </c>
      <c r="D11" s="1069"/>
      <c r="E11" s="1070"/>
      <c r="F11" s="1068" t="s">
        <v>174</v>
      </c>
      <c r="G11" s="1069"/>
      <c r="H11" s="1070"/>
      <c r="I11" s="1068" t="s">
        <v>15</v>
      </c>
      <c r="J11" s="1069"/>
      <c r="K11" s="1070"/>
      <c r="L11" s="1068" t="s">
        <v>173</v>
      </c>
      <c r="M11" s="1069"/>
      <c r="N11" s="1070"/>
      <c r="O11" s="1068" t="s">
        <v>174</v>
      </c>
      <c r="P11" s="1069"/>
      <c r="Q11" s="1070"/>
      <c r="R11" s="1068" t="s">
        <v>15</v>
      </c>
      <c r="S11" s="1069"/>
      <c r="T11" s="1070"/>
      <c r="U11" s="1061"/>
      <c r="V11" s="1061"/>
      <c r="W11" s="1061"/>
      <c r="X11" s="1080"/>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c r="CX11" s="405"/>
      <c r="CY11" s="405"/>
      <c r="CZ11" s="405"/>
      <c r="DA11" s="405"/>
      <c r="DB11" s="405"/>
      <c r="DC11" s="405"/>
      <c r="DD11" s="405"/>
      <c r="DE11" s="405"/>
      <c r="DF11" s="405"/>
      <c r="DG11" s="405"/>
      <c r="DH11" s="405"/>
      <c r="DI11" s="405"/>
      <c r="DJ11" s="405"/>
      <c r="DK11" s="405"/>
      <c r="DL11" s="405"/>
      <c r="DM11" s="405"/>
      <c r="DN11" s="405"/>
      <c r="DO11" s="405"/>
      <c r="DP11" s="405"/>
      <c r="DQ11" s="405"/>
      <c r="DR11" s="405"/>
      <c r="DS11" s="405"/>
      <c r="DT11" s="405"/>
      <c r="DU11" s="405"/>
      <c r="DV11" s="405"/>
      <c r="DW11" s="405"/>
      <c r="DX11" s="405"/>
      <c r="DY11" s="405"/>
      <c r="DZ11" s="405"/>
      <c r="EA11" s="405"/>
      <c r="EB11" s="405"/>
      <c r="EC11" s="405"/>
      <c r="ED11" s="405"/>
      <c r="EE11" s="405"/>
      <c r="EF11" s="405"/>
      <c r="EG11" s="405"/>
      <c r="EH11" s="405"/>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5"/>
      <c r="FP11" s="405"/>
      <c r="FQ11" s="405"/>
      <c r="FR11" s="405"/>
      <c r="FS11" s="405"/>
      <c r="FT11" s="405"/>
      <c r="FU11" s="405"/>
      <c r="FV11" s="405"/>
      <c r="FW11" s="405"/>
      <c r="FX11" s="405"/>
      <c r="FY11" s="405"/>
      <c r="FZ11" s="405"/>
      <c r="GA11" s="405"/>
      <c r="GB11" s="405"/>
      <c r="GC11" s="405"/>
      <c r="GD11" s="405"/>
      <c r="GE11" s="405"/>
      <c r="GF11" s="405"/>
      <c r="GG11" s="405"/>
      <c r="GH11" s="405"/>
      <c r="GI11" s="405"/>
      <c r="GJ11" s="405"/>
      <c r="GK11" s="405"/>
      <c r="GL11" s="405"/>
      <c r="GM11" s="405"/>
      <c r="GN11" s="405"/>
      <c r="GO11" s="405"/>
      <c r="GP11" s="405"/>
      <c r="GQ11" s="405"/>
      <c r="GR11" s="405"/>
      <c r="GS11" s="405"/>
      <c r="GT11" s="405"/>
      <c r="GU11" s="405"/>
      <c r="GV11" s="405"/>
      <c r="GW11" s="405"/>
      <c r="GX11" s="405"/>
      <c r="GY11" s="405"/>
      <c r="GZ11" s="405"/>
      <c r="HA11" s="405"/>
      <c r="HB11" s="405"/>
      <c r="HC11" s="405"/>
      <c r="HD11" s="405"/>
      <c r="HE11" s="405"/>
      <c r="HF11" s="405"/>
      <c r="HG11" s="405"/>
      <c r="HH11" s="405"/>
      <c r="HI11" s="405"/>
      <c r="HJ11" s="405"/>
      <c r="HK11" s="405"/>
      <c r="HL11" s="405"/>
      <c r="HM11" s="405"/>
      <c r="HN11" s="405"/>
      <c r="HO11" s="405"/>
      <c r="HP11" s="405"/>
      <c r="HQ11" s="405"/>
      <c r="HR11" s="405"/>
      <c r="HS11" s="405"/>
      <c r="HT11" s="405"/>
      <c r="HU11" s="405"/>
      <c r="HV11" s="405"/>
      <c r="HW11" s="405"/>
      <c r="HX11" s="405"/>
      <c r="HY11" s="405"/>
      <c r="HZ11" s="405"/>
      <c r="IA11" s="405"/>
      <c r="IB11" s="405"/>
      <c r="IC11" s="405"/>
      <c r="ID11" s="405"/>
      <c r="IE11" s="405"/>
      <c r="IF11" s="405"/>
      <c r="IG11" s="405"/>
      <c r="IH11" s="405"/>
      <c r="II11" s="405"/>
      <c r="IJ11" s="405"/>
      <c r="IK11" s="405"/>
      <c r="IL11" s="405"/>
      <c r="IM11" s="405"/>
      <c r="IN11" s="405"/>
    </row>
    <row r="12" spans="1:248" s="407" customFormat="1" ht="12.75">
      <c r="A12" s="1073"/>
      <c r="B12" s="1073"/>
      <c r="C12" s="408" t="s">
        <v>253</v>
      </c>
      <c r="D12" s="409" t="s">
        <v>40</v>
      </c>
      <c r="E12" s="410" t="s">
        <v>41</v>
      </c>
      <c r="F12" s="408" t="s">
        <v>253</v>
      </c>
      <c r="G12" s="409" t="s">
        <v>40</v>
      </c>
      <c r="H12" s="410" t="s">
        <v>41</v>
      </c>
      <c r="I12" s="408" t="s">
        <v>253</v>
      </c>
      <c r="J12" s="409" t="s">
        <v>40</v>
      </c>
      <c r="K12" s="410" t="s">
        <v>41</v>
      </c>
      <c r="L12" s="408" t="s">
        <v>253</v>
      </c>
      <c r="M12" s="409" t="s">
        <v>40</v>
      </c>
      <c r="N12" s="410" t="s">
        <v>41</v>
      </c>
      <c r="O12" s="408" t="s">
        <v>253</v>
      </c>
      <c r="P12" s="409" t="s">
        <v>40</v>
      </c>
      <c r="Q12" s="410" t="s">
        <v>41</v>
      </c>
      <c r="R12" s="408" t="s">
        <v>253</v>
      </c>
      <c r="S12" s="409" t="s">
        <v>40</v>
      </c>
      <c r="T12" s="410" t="s">
        <v>41</v>
      </c>
      <c r="U12" s="404" t="s">
        <v>253</v>
      </c>
      <c r="V12" s="404" t="s">
        <v>40</v>
      </c>
      <c r="W12" s="404" t="s">
        <v>41</v>
      </c>
      <c r="X12" s="1080"/>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405"/>
      <c r="CO12" s="405"/>
      <c r="CP12" s="405"/>
      <c r="CQ12" s="405"/>
      <c r="CR12" s="405"/>
      <c r="CS12" s="405"/>
      <c r="CT12" s="405"/>
      <c r="CU12" s="405"/>
      <c r="CV12" s="405"/>
      <c r="CW12" s="405"/>
      <c r="CX12" s="405"/>
      <c r="CY12" s="405"/>
      <c r="CZ12" s="405"/>
      <c r="DA12" s="405"/>
      <c r="DB12" s="405"/>
      <c r="DC12" s="405"/>
      <c r="DD12" s="405"/>
      <c r="DE12" s="405"/>
      <c r="DF12" s="405"/>
      <c r="DG12" s="405"/>
      <c r="DH12" s="405"/>
      <c r="DI12" s="405"/>
      <c r="DJ12" s="405"/>
      <c r="DK12" s="405"/>
      <c r="DL12" s="405"/>
      <c r="DM12" s="405"/>
      <c r="DN12" s="405"/>
      <c r="DO12" s="405"/>
      <c r="DP12" s="405"/>
      <c r="DQ12" s="405"/>
      <c r="DR12" s="405"/>
      <c r="DS12" s="405"/>
      <c r="DT12" s="405"/>
      <c r="DU12" s="405"/>
      <c r="DV12" s="405"/>
      <c r="DW12" s="405"/>
      <c r="DX12" s="405"/>
      <c r="DY12" s="405"/>
      <c r="DZ12" s="405"/>
      <c r="EA12" s="405"/>
      <c r="EB12" s="405"/>
      <c r="EC12" s="405"/>
      <c r="ED12" s="405"/>
      <c r="EE12" s="405"/>
      <c r="EF12" s="405"/>
      <c r="EG12" s="405"/>
      <c r="EH12" s="405"/>
      <c r="EI12" s="405"/>
      <c r="EJ12" s="405"/>
      <c r="EK12" s="405"/>
      <c r="EL12" s="405"/>
      <c r="EM12" s="405"/>
      <c r="EN12" s="405"/>
      <c r="EO12" s="405"/>
      <c r="EP12" s="405"/>
      <c r="EQ12" s="405"/>
      <c r="ER12" s="405"/>
      <c r="ES12" s="405"/>
      <c r="ET12" s="405"/>
      <c r="EU12" s="405"/>
      <c r="EV12" s="405"/>
      <c r="EW12" s="405"/>
      <c r="EX12" s="405"/>
      <c r="EY12" s="405"/>
      <c r="EZ12" s="405"/>
      <c r="FA12" s="405"/>
      <c r="FB12" s="405"/>
      <c r="FC12" s="405"/>
      <c r="FD12" s="405"/>
      <c r="FE12" s="405"/>
      <c r="FF12" s="405"/>
      <c r="FG12" s="405"/>
      <c r="FH12" s="405"/>
      <c r="FI12" s="405"/>
      <c r="FJ12" s="405"/>
      <c r="FK12" s="405"/>
      <c r="FL12" s="405"/>
      <c r="FM12" s="405"/>
      <c r="FN12" s="405"/>
      <c r="FO12" s="405"/>
      <c r="FP12" s="405"/>
      <c r="FQ12" s="405"/>
      <c r="FR12" s="405"/>
      <c r="FS12" s="405"/>
      <c r="FT12" s="405"/>
      <c r="FU12" s="405"/>
      <c r="FV12" s="405"/>
      <c r="FW12" s="405"/>
      <c r="FX12" s="405"/>
      <c r="FY12" s="405"/>
      <c r="FZ12" s="405"/>
      <c r="GA12" s="405"/>
      <c r="GB12" s="405"/>
      <c r="GC12" s="405"/>
      <c r="GD12" s="405"/>
      <c r="GE12" s="405"/>
      <c r="GF12" s="405"/>
      <c r="GG12" s="405"/>
      <c r="GH12" s="405"/>
      <c r="GI12" s="405"/>
      <c r="GJ12" s="405"/>
      <c r="GK12" s="405"/>
      <c r="GL12" s="405"/>
      <c r="GM12" s="405"/>
      <c r="GN12" s="405"/>
      <c r="GO12" s="405"/>
      <c r="GP12" s="405"/>
      <c r="GQ12" s="405"/>
      <c r="GR12" s="405"/>
      <c r="GS12" s="405"/>
      <c r="GT12" s="405"/>
      <c r="GU12" s="405"/>
      <c r="GV12" s="405"/>
      <c r="GW12" s="405"/>
      <c r="GX12" s="405"/>
      <c r="GY12" s="405"/>
      <c r="GZ12" s="405"/>
      <c r="HA12" s="405"/>
      <c r="HB12" s="405"/>
      <c r="HC12" s="405"/>
      <c r="HD12" s="405"/>
      <c r="HE12" s="405"/>
      <c r="HF12" s="405"/>
      <c r="HG12" s="405"/>
      <c r="HH12" s="405"/>
      <c r="HI12" s="405"/>
      <c r="HJ12" s="405"/>
      <c r="HK12" s="405"/>
      <c r="HL12" s="405"/>
      <c r="HM12" s="405"/>
      <c r="HN12" s="405"/>
      <c r="HO12" s="405"/>
      <c r="HP12" s="405"/>
      <c r="HQ12" s="405"/>
      <c r="HR12" s="405"/>
      <c r="HS12" s="405"/>
      <c r="HT12" s="405"/>
      <c r="HU12" s="405"/>
      <c r="HV12" s="405"/>
      <c r="HW12" s="405"/>
      <c r="HX12" s="405"/>
      <c r="HY12" s="405"/>
      <c r="HZ12" s="405"/>
      <c r="IA12" s="405"/>
      <c r="IB12" s="405"/>
      <c r="IC12" s="405"/>
      <c r="ID12" s="405"/>
      <c r="IE12" s="405"/>
      <c r="IF12" s="405"/>
      <c r="IG12" s="405"/>
      <c r="IH12" s="405"/>
      <c r="II12" s="405"/>
      <c r="IJ12" s="405"/>
      <c r="IK12" s="405"/>
      <c r="IL12" s="405"/>
      <c r="IM12" s="405"/>
      <c r="IN12" s="405"/>
    </row>
    <row r="13" spans="1:248" ht="12.75">
      <c r="A13" s="168">
        <v>1</v>
      </c>
      <c r="B13" s="168">
        <v>2</v>
      </c>
      <c r="C13" s="168">
        <v>3</v>
      </c>
      <c r="D13" s="168">
        <v>4</v>
      </c>
      <c r="E13" s="168">
        <v>5</v>
      </c>
      <c r="F13" s="168">
        <v>6</v>
      </c>
      <c r="G13" s="168">
        <v>7</v>
      </c>
      <c r="H13" s="168">
        <v>8</v>
      </c>
      <c r="I13" s="168">
        <v>9</v>
      </c>
      <c r="J13" s="168">
        <v>10</v>
      </c>
      <c r="K13" s="168">
        <v>11</v>
      </c>
      <c r="L13" s="168">
        <v>12</v>
      </c>
      <c r="M13" s="168">
        <v>13</v>
      </c>
      <c r="N13" s="168">
        <v>14</v>
      </c>
      <c r="O13" s="168">
        <v>15</v>
      </c>
      <c r="P13" s="168">
        <v>16</v>
      </c>
      <c r="Q13" s="168">
        <v>17</v>
      </c>
      <c r="R13" s="168">
        <v>18</v>
      </c>
      <c r="S13" s="168">
        <v>19</v>
      </c>
      <c r="T13" s="168">
        <v>20</v>
      </c>
      <c r="U13" s="168">
        <v>21</v>
      </c>
      <c r="V13" s="168">
        <v>22</v>
      </c>
      <c r="W13" s="168">
        <v>23</v>
      </c>
      <c r="X13" s="172">
        <v>24</v>
      </c>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F13" s="169"/>
      <c r="HG13" s="169"/>
      <c r="HH13" s="169"/>
      <c r="HI13" s="169"/>
      <c r="HJ13" s="169"/>
      <c r="HK13" s="169"/>
      <c r="HL13" s="169"/>
      <c r="HM13" s="169"/>
      <c r="HN13" s="169"/>
      <c r="HO13" s="169"/>
      <c r="HP13" s="169"/>
      <c r="HQ13" s="169"/>
      <c r="HR13" s="169"/>
      <c r="HS13" s="169"/>
      <c r="HT13" s="169"/>
      <c r="HU13" s="169"/>
      <c r="HV13" s="169"/>
      <c r="HW13" s="169"/>
      <c r="HX13" s="169"/>
      <c r="HY13" s="169"/>
      <c r="HZ13" s="169"/>
      <c r="IA13" s="169"/>
      <c r="IB13" s="169"/>
      <c r="IC13" s="169"/>
      <c r="ID13" s="169"/>
      <c r="IE13" s="169"/>
      <c r="IF13" s="169"/>
      <c r="IG13" s="169"/>
      <c r="IH13" s="169"/>
      <c r="II13" s="169"/>
      <c r="IJ13" s="169"/>
      <c r="IK13" s="169"/>
      <c r="IL13" s="169"/>
      <c r="IM13" s="169"/>
      <c r="IN13" s="169"/>
    </row>
    <row r="14" spans="1:248" ht="16.5" customHeight="1">
      <c r="A14" s="1062" t="s">
        <v>245</v>
      </c>
      <c r="B14" s="1063"/>
      <c r="C14" s="168"/>
      <c r="D14" s="168"/>
      <c r="E14" s="168"/>
      <c r="F14" s="168"/>
      <c r="G14" s="168"/>
      <c r="H14" s="168"/>
      <c r="I14" s="168"/>
      <c r="J14" s="168"/>
      <c r="K14" s="168"/>
      <c r="L14" s="168"/>
      <c r="M14" s="168"/>
      <c r="N14" s="168"/>
      <c r="O14" s="168"/>
      <c r="P14" s="168"/>
      <c r="Q14" s="168"/>
      <c r="R14" s="168"/>
      <c r="S14" s="168"/>
      <c r="T14" s="168"/>
      <c r="U14" s="170"/>
      <c r="V14" s="171"/>
      <c r="W14" s="171"/>
      <c r="X14" s="172"/>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c r="GD14" s="169"/>
      <c r="GE14" s="169"/>
      <c r="GF14" s="169"/>
      <c r="GG14" s="169"/>
      <c r="GH14" s="169"/>
      <c r="GI14" s="169"/>
      <c r="GJ14" s="169"/>
      <c r="GK14" s="169"/>
      <c r="GL14" s="169"/>
      <c r="GM14" s="169"/>
      <c r="GN14" s="169"/>
      <c r="GO14" s="169"/>
      <c r="GP14" s="169"/>
      <c r="GQ14" s="169"/>
      <c r="GR14" s="169"/>
      <c r="GS14" s="169"/>
      <c r="GT14" s="169"/>
      <c r="GU14" s="169"/>
      <c r="GV14" s="169"/>
      <c r="GW14" s="169"/>
      <c r="GX14" s="169"/>
      <c r="GY14" s="169"/>
      <c r="GZ14" s="169"/>
      <c r="HA14" s="169"/>
      <c r="HB14" s="169"/>
      <c r="HC14" s="169"/>
      <c r="HD14" s="169"/>
      <c r="HE14" s="169"/>
      <c r="HF14" s="169"/>
      <c r="HG14" s="169"/>
      <c r="HH14" s="169"/>
      <c r="HI14" s="169"/>
      <c r="HJ14" s="169"/>
      <c r="HK14" s="169"/>
      <c r="HL14" s="169"/>
      <c r="HM14" s="169"/>
      <c r="HN14" s="169"/>
      <c r="HO14" s="169"/>
      <c r="HP14" s="169"/>
      <c r="HQ14" s="169"/>
      <c r="HR14" s="169"/>
      <c r="HS14" s="169"/>
      <c r="HT14" s="169"/>
      <c r="HU14" s="169"/>
      <c r="HV14" s="169"/>
      <c r="HW14" s="169"/>
      <c r="HX14" s="169"/>
      <c r="HY14" s="169"/>
      <c r="HZ14" s="169"/>
      <c r="IA14" s="169"/>
      <c r="IB14" s="169"/>
      <c r="IC14" s="169"/>
      <c r="ID14" s="169"/>
      <c r="IE14" s="169"/>
      <c r="IF14" s="169"/>
      <c r="IG14" s="169"/>
      <c r="IH14" s="169"/>
      <c r="II14" s="169"/>
      <c r="IJ14" s="169"/>
      <c r="IK14" s="169"/>
      <c r="IL14" s="169"/>
      <c r="IM14" s="169"/>
      <c r="IN14" s="169"/>
    </row>
    <row r="15" spans="1:24" ht="16.5" customHeight="1">
      <c r="A15" s="172">
        <v>1</v>
      </c>
      <c r="B15" s="573" t="s">
        <v>124</v>
      </c>
      <c r="C15" s="384">
        <v>79.31461200000001</v>
      </c>
      <c r="D15" s="384">
        <v>25.929777000000005</v>
      </c>
      <c r="E15" s="384">
        <v>47.283711000000004</v>
      </c>
      <c r="F15" s="548">
        <v>0</v>
      </c>
      <c r="G15" s="548">
        <v>0</v>
      </c>
      <c r="H15" s="384">
        <v>0</v>
      </c>
      <c r="I15" s="384">
        <f>C15+F15</f>
        <v>79.31461200000001</v>
      </c>
      <c r="J15" s="384">
        <f aca="true" t="shared" si="0" ref="J15:K19">D15+G15</f>
        <v>25.929777000000005</v>
      </c>
      <c r="K15" s="384">
        <f t="shared" si="0"/>
        <v>47.283711000000004</v>
      </c>
      <c r="L15" s="549">
        <v>72.732348</v>
      </c>
      <c r="M15" s="549">
        <v>23.777883000000003</v>
      </c>
      <c r="N15" s="549">
        <v>43.359669</v>
      </c>
      <c r="O15" s="384">
        <v>0</v>
      </c>
      <c r="P15" s="384">
        <v>0</v>
      </c>
      <c r="Q15" s="384">
        <v>0</v>
      </c>
      <c r="R15" s="384">
        <f aca="true" t="shared" si="1" ref="R15:T19">L15+O15</f>
        <v>72.732348</v>
      </c>
      <c r="S15" s="384">
        <f t="shared" si="1"/>
        <v>23.777883000000003</v>
      </c>
      <c r="T15" s="384">
        <f t="shared" si="1"/>
        <v>43.359669</v>
      </c>
      <c r="U15" s="384">
        <f aca="true" t="shared" si="2" ref="U15:W19">I15+R15</f>
        <v>152.04696</v>
      </c>
      <c r="V15" s="384">
        <f t="shared" si="2"/>
        <v>49.707660000000004</v>
      </c>
      <c r="W15" s="384">
        <f t="shared" si="2"/>
        <v>90.64338000000001</v>
      </c>
      <c r="X15" s="386">
        <f>U15+V15+W15</f>
        <v>292.398</v>
      </c>
    </row>
    <row r="16" spans="1:24" ht="16.5" customHeight="1">
      <c r="A16" s="172">
        <v>2</v>
      </c>
      <c r="B16" s="496" t="s">
        <v>125</v>
      </c>
      <c r="C16" s="384">
        <v>1033.7327598</v>
      </c>
      <c r="D16" s="384">
        <v>337.95109455000005</v>
      </c>
      <c r="E16" s="384">
        <v>616.26376065</v>
      </c>
      <c r="F16" s="548">
        <v>132.19089</v>
      </c>
      <c r="G16" s="548">
        <v>43.2162525</v>
      </c>
      <c r="H16" s="384">
        <v>78.8061075</v>
      </c>
      <c r="I16" s="384">
        <f>C16+F16</f>
        <v>1165.9236498</v>
      </c>
      <c r="J16" s="384">
        <f t="shared" si="0"/>
        <v>381.16734705000005</v>
      </c>
      <c r="K16" s="384">
        <f t="shared" si="0"/>
        <v>695.06986815</v>
      </c>
      <c r="L16" s="549">
        <v>947.1367983999999</v>
      </c>
      <c r="M16" s="549">
        <v>309.6408764</v>
      </c>
      <c r="N16" s="549">
        <v>564.6392452</v>
      </c>
      <c r="O16" s="384">
        <v>105.057836</v>
      </c>
      <c r="P16" s="384">
        <v>34.345831000000004</v>
      </c>
      <c r="Q16" s="384">
        <v>62.630633</v>
      </c>
      <c r="R16" s="384">
        <f t="shared" si="1"/>
        <v>1052.1946343999998</v>
      </c>
      <c r="S16" s="384">
        <f t="shared" si="1"/>
        <v>343.9867074</v>
      </c>
      <c r="T16" s="384">
        <f>N16+Q16</f>
        <v>627.2698782</v>
      </c>
      <c r="U16" s="384">
        <f t="shared" si="2"/>
        <v>2218.1182842</v>
      </c>
      <c r="V16" s="384">
        <f t="shared" si="2"/>
        <v>725.1540544500001</v>
      </c>
      <c r="W16" s="384">
        <f t="shared" si="2"/>
        <v>1322.33974635</v>
      </c>
      <c r="X16" s="386">
        <f aca="true" t="shared" si="3" ref="X16:X25">U16+V16+W16</f>
        <v>4265.612085000001</v>
      </c>
    </row>
    <row r="17" spans="1:24" ht="17.25" customHeight="1">
      <c r="A17" s="172">
        <v>3</v>
      </c>
      <c r="B17" s="496" t="s">
        <v>128</v>
      </c>
      <c r="C17" s="384">
        <v>343.23119999999994</v>
      </c>
      <c r="D17" s="384">
        <v>112.2102</v>
      </c>
      <c r="E17" s="384">
        <v>204.6186</v>
      </c>
      <c r="F17" s="548">
        <v>228.8208</v>
      </c>
      <c r="G17" s="548">
        <v>74.80680000000001</v>
      </c>
      <c r="H17" s="384">
        <v>136.41240000000002</v>
      </c>
      <c r="I17" s="384">
        <f>C17+F17</f>
        <v>572.0519999999999</v>
      </c>
      <c r="J17" s="384">
        <f t="shared" si="0"/>
        <v>187.017</v>
      </c>
      <c r="K17" s="384">
        <f t="shared" si="0"/>
        <v>341.031</v>
      </c>
      <c r="L17" s="549">
        <v>172.8792</v>
      </c>
      <c r="M17" s="549">
        <v>56.5182</v>
      </c>
      <c r="N17" s="549">
        <v>103.06259999999999</v>
      </c>
      <c r="O17" s="384">
        <v>115.25279999999998</v>
      </c>
      <c r="P17" s="384">
        <v>37.6788</v>
      </c>
      <c r="Q17" s="384">
        <v>68.7084</v>
      </c>
      <c r="R17" s="384">
        <f t="shared" si="1"/>
        <v>288.13199999999995</v>
      </c>
      <c r="S17" s="384">
        <f t="shared" si="1"/>
        <v>94.197</v>
      </c>
      <c r="T17" s="384">
        <f t="shared" si="1"/>
        <v>171.771</v>
      </c>
      <c r="U17" s="384">
        <f t="shared" si="2"/>
        <v>860.1839999999999</v>
      </c>
      <c r="V17" s="384">
        <f t="shared" si="2"/>
        <v>281.214</v>
      </c>
      <c r="W17" s="384">
        <f t="shared" si="2"/>
        <v>512.802</v>
      </c>
      <c r="X17" s="386">
        <f t="shared" si="3"/>
        <v>1654.1999999999998</v>
      </c>
    </row>
    <row r="18" spans="1:24" ht="16.5" customHeight="1">
      <c r="A18" s="172">
        <v>4</v>
      </c>
      <c r="B18" s="496" t="s">
        <v>126</v>
      </c>
      <c r="C18" s="384">
        <v>49.966800000000006</v>
      </c>
      <c r="D18" s="384">
        <v>16.3353</v>
      </c>
      <c r="E18" s="384">
        <v>29.7879</v>
      </c>
      <c r="F18" s="548">
        <v>0</v>
      </c>
      <c r="G18" s="548">
        <v>0</v>
      </c>
      <c r="H18" s="384">
        <v>0</v>
      </c>
      <c r="I18" s="384">
        <f>C18+F18</f>
        <v>49.966800000000006</v>
      </c>
      <c r="J18" s="384">
        <f t="shared" si="0"/>
        <v>16.3353</v>
      </c>
      <c r="K18" s="384">
        <f t="shared" si="0"/>
        <v>29.7879</v>
      </c>
      <c r="L18" s="549">
        <v>45.8224</v>
      </c>
      <c r="M18" s="549">
        <v>14.980400000000001</v>
      </c>
      <c r="N18" s="549">
        <v>27.3172</v>
      </c>
      <c r="O18" s="384">
        <v>0</v>
      </c>
      <c r="P18" s="384">
        <v>0</v>
      </c>
      <c r="Q18" s="384">
        <v>0</v>
      </c>
      <c r="R18" s="384">
        <f t="shared" si="1"/>
        <v>45.8224</v>
      </c>
      <c r="S18" s="384">
        <f t="shared" si="1"/>
        <v>14.980400000000001</v>
      </c>
      <c r="T18" s="384">
        <f t="shared" si="1"/>
        <v>27.3172</v>
      </c>
      <c r="U18" s="384">
        <f t="shared" si="2"/>
        <v>95.78920000000001</v>
      </c>
      <c r="V18" s="384">
        <f t="shared" si="2"/>
        <v>31.3157</v>
      </c>
      <c r="W18" s="384">
        <f t="shared" si="2"/>
        <v>57.1051</v>
      </c>
      <c r="X18" s="386">
        <f t="shared" si="3"/>
        <v>184.21</v>
      </c>
    </row>
    <row r="19" spans="1:24" ht="16.5" customHeight="1">
      <c r="A19" s="172">
        <v>5</v>
      </c>
      <c r="B19" s="573" t="s">
        <v>127</v>
      </c>
      <c r="C19" s="384">
        <v>40.668625038600005</v>
      </c>
      <c r="D19" s="384">
        <v>13.295512031850004</v>
      </c>
      <c r="E19" s="384">
        <v>24.244757234550004</v>
      </c>
      <c r="F19" s="384">
        <v>0</v>
      </c>
      <c r="G19" s="384">
        <v>0</v>
      </c>
      <c r="H19" s="384">
        <v>0</v>
      </c>
      <c r="I19" s="384">
        <f>C19+F19</f>
        <v>40.668625038600005</v>
      </c>
      <c r="J19" s="384">
        <f t="shared" si="0"/>
        <v>13.295512031850004</v>
      </c>
      <c r="K19" s="384">
        <f t="shared" si="0"/>
        <v>24.244757234550004</v>
      </c>
      <c r="L19" s="384">
        <v>33.4414101528</v>
      </c>
      <c r="M19" s="384">
        <v>10.9327687038</v>
      </c>
      <c r="N19" s="384">
        <v>19.936225283400002</v>
      </c>
      <c r="O19" s="384">
        <v>0</v>
      </c>
      <c r="P19" s="384">
        <v>0</v>
      </c>
      <c r="Q19" s="384">
        <v>0</v>
      </c>
      <c r="R19" s="384">
        <f>L19+O19</f>
        <v>33.4414101528</v>
      </c>
      <c r="S19" s="384">
        <f t="shared" si="1"/>
        <v>10.9327687038</v>
      </c>
      <c r="T19" s="384">
        <f t="shared" si="1"/>
        <v>19.936225283400002</v>
      </c>
      <c r="U19" s="384">
        <f>I19+R19</f>
        <v>74.11003519140002</v>
      </c>
      <c r="V19" s="384">
        <f t="shared" si="2"/>
        <v>24.228280735650003</v>
      </c>
      <c r="W19" s="384">
        <f t="shared" si="2"/>
        <v>44.18098251795001</v>
      </c>
      <c r="X19" s="386">
        <f t="shared" si="3"/>
        <v>142.51929844500003</v>
      </c>
    </row>
    <row r="20" spans="1:24" s="169" customFormat="1" ht="16.5" customHeight="1">
      <c r="A20" s="1075" t="s">
        <v>537</v>
      </c>
      <c r="B20" s="1076"/>
      <c r="C20" s="385">
        <f aca="true" t="shared" si="4" ref="C20:K20">SUM(C15:C19)</f>
        <v>1546.9139968385998</v>
      </c>
      <c r="D20" s="385">
        <f t="shared" si="4"/>
        <v>505.7218835818501</v>
      </c>
      <c r="E20" s="385">
        <f t="shared" si="4"/>
        <v>922.1987288845501</v>
      </c>
      <c r="F20" s="385">
        <f t="shared" si="4"/>
        <v>361.01169</v>
      </c>
      <c r="G20" s="385">
        <f t="shared" si="4"/>
        <v>118.0230525</v>
      </c>
      <c r="H20" s="385">
        <f t="shared" si="4"/>
        <v>215.21850750000002</v>
      </c>
      <c r="I20" s="385">
        <f t="shared" si="4"/>
        <v>1907.9256868386</v>
      </c>
      <c r="J20" s="385">
        <f t="shared" si="4"/>
        <v>623.74493608185</v>
      </c>
      <c r="K20" s="385">
        <f t="shared" si="4"/>
        <v>1137.41723638455</v>
      </c>
      <c r="L20" s="385">
        <f>SUM(L15:L19)</f>
        <v>1272.0121565528</v>
      </c>
      <c r="M20" s="385">
        <f aca="true" t="shared" si="5" ref="M20:W20">SUM(M15:M19)</f>
        <v>415.85012810379993</v>
      </c>
      <c r="N20" s="385">
        <f t="shared" si="5"/>
        <v>758.3149394833998</v>
      </c>
      <c r="O20" s="385">
        <f t="shared" si="5"/>
        <v>220.310636</v>
      </c>
      <c r="P20" s="385">
        <f t="shared" si="5"/>
        <v>72.024631</v>
      </c>
      <c r="Q20" s="385">
        <f t="shared" si="5"/>
        <v>131.339033</v>
      </c>
      <c r="R20" s="385">
        <f t="shared" si="5"/>
        <v>1492.3227925528</v>
      </c>
      <c r="S20" s="385">
        <f t="shared" si="5"/>
        <v>487.87475910379993</v>
      </c>
      <c r="T20" s="385">
        <f t="shared" si="5"/>
        <v>889.6539724833998</v>
      </c>
      <c r="U20" s="385">
        <f t="shared" si="5"/>
        <v>3400.2484793914</v>
      </c>
      <c r="V20" s="385">
        <f t="shared" si="5"/>
        <v>1111.6196951856502</v>
      </c>
      <c r="W20" s="385">
        <f t="shared" si="5"/>
        <v>2027.0712088679502</v>
      </c>
      <c r="X20" s="386">
        <f t="shared" si="3"/>
        <v>6538.939383445</v>
      </c>
    </row>
    <row r="21" spans="1:24" ht="16.5" customHeight="1">
      <c r="A21" s="1062" t="s">
        <v>246</v>
      </c>
      <c r="B21" s="1063"/>
      <c r="C21" s="384"/>
      <c r="D21" s="384"/>
      <c r="E21" s="384"/>
      <c r="F21" s="384"/>
      <c r="G21" s="384"/>
      <c r="H21" s="384"/>
      <c r="I21" s="384"/>
      <c r="J21" s="384"/>
      <c r="K21" s="384"/>
      <c r="L21" s="384"/>
      <c r="M21" s="384"/>
      <c r="N21" s="384"/>
      <c r="O21" s="384"/>
      <c r="P21" s="384"/>
      <c r="Q21" s="384"/>
      <c r="R21" s="384" t="s">
        <v>10</v>
      </c>
      <c r="S21" s="384"/>
      <c r="T21" s="384"/>
      <c r="U21" s="384"/>
      <c r="V21" s="384"/>
      <c r="W21" s="384"/>
      <c r="X21" s="386"/>
    </row>
    <row r="22" spans="1:24" ht="16.5" customHeight="1">
      <c r="A22" s="172">
        <v>6</v>
      </c>
      <c r="B22" s="573" t="s">
        <v>129</v>
      </c>
      <c r="C22" s="384">
        <v>0</v>
      </c>
      <c r="D22" s="384">
        <v>0</v>
      </c>
      <c r="E22" s="384">
        <v>0</v>
      </c>
      <c r="F22" s="384">
        <v>0</v>
      </c>
      <c r="G22" s="384">
        <v>0</v>
      </c>
      <c r="H22" s="384">
        <v>0</v>
      </c>
      <c r="I22" s="384">
        <f aca="true" t="shared" si="6" ref="I22:K24">C22+F22</f>
        <v>0</v>
      </c>
      <c r="J22" s="384">
        <f t="shared" si="6"/>
        <v>0</v>
      </c>
      <c r="K22" s="384">
        <f t="shared" si="6"/>
        <v>0</v>
      </c>
      <c r="L22" s="384">
        <v>0</v>
      </c>
      <c r="M22" s="384">
        <v>0</v>
      </c>
      <c r="N22" s="384">
        <v>0</v>
      </c>
      <c r="O22" s="384">
        <v>0</v>
      </c>
      <c r="P22" s="384">
        <v>0</v>
      </c>
      <c r="Q22" s="384">
        <v>0</v>
      </c>
      <c r="R22" s="384">
        <f aca="true" t="shared" si="7" ref="R22:T24">L22+O22</f>
        <v>0</v>
      </c>
      <c r="S22" s="384">
        <f t="shared" si="7"/>
        <v>0</v>
      </c>
      <c r="T22" s="384">
        <f t="shared" si="7"/>
        <v>0</v>
      </c>
      <c r="U22" s="384">
        <f aca="true" t="shared" si="8" ref="U22:W24">I22+R22</f>
        <v>0</v>
      </c>
      <c r="V22" s="384">
        <f t="shared" si="8"/>
        <v>0</v>
      </c>
      <c r="W22" s="384">
        <f t="shared" si="8"/>
        <v>0</v>
      </c>
      <c r="X22" s="386">
        <f t="shared" si="3"/>
        <v>0</v>
      </c>
    </row>
    <row r="23" spans="1:24" ht="16.5" customHeight="1">
      <c r="A23" s="172">
        <v>7</v>
      </c>
      <c r="B23" s="573" t="s">
        <v>130</v>
      </c>
      <c r="C23" s="605">
        <v>178.71</v>
      </c>
      <c r="D23" s="605">
        <v>58.42</v>
      </c>
      <c r="E23" s="605">
        <v>106.54</v>
      </c>
      <c r="F23" s="605">
        <v>19.85</v>
      </c>
      <c r="G23" s="605">
        <v>6.49</v>
      </c>
      <c r="H23" s="384">
        <v>11.84</v>
      </c>
      <c r="I23" s="384">
        <f>C23+F23</f>
        <v>198.56</v>
      </c>
      <c r="J23" s="384">
        <f>D23+G23</f>
        <v>64.91</v>
      </c>
      <c r="K23" s="384">
        <f>E23+H23</f>
        <v>118.38000000000001</v>
      </c>
      <c r="L23" s="384">
        <v>0</v>
      </c>
      <c r="M23" s="384">
        <v>0</v>
      </c>
      <c r="N23" s="384">
        <v>0</v>
      </c>
      <c r="O23" s="384">
        <v>0</v>
      </c>
      <c r="P23" s="384">
        <v>0</v>
      </c>
      <c r="Q23" s="384">
        <v>0</v>
      </c>
      <c r="R23" s="384">
        <f>L23+O23</f>
        <v>0</v>
      </c>
      <c r="S23" s="384">
        <f>M23+P23</f>
        <v>0</v>
      </c>
      <c r="T23" s="384">
        <f>N23+Q23</f>
        <v>0</v>
      </c>
      <c r="U23" s="384">
        <f>I23+R23</f>
        <v>198.56</v>
      </c>
      <c r="V23" s="384">
        <f>J23+S23</f>
        <v>64.91</v>
      </c>
      <c r="W23" s="384">
        <f>K23+T23</f>
        <v>118.38000000000001</v>
      </c>
      <c r="X23" s="386">
        <f>U23+V23+W23</f>
        <v>381.85</v>
      </c>
    </row>
    <row r="24" spans="1:24" ht="18" customHeight="1">
      <c r="A24" s="172">
        <v>8</v>
      </c>
      <c r="B24" s="573" t="s">
        <v>1011</v>
      </c>
      <c r="C24" s="605">
        <v>88.07759999999999</v>
      </c>
      <c r="D24" s="605">
        <v>28.794600000000003</v>
      </c>
      <c r="E24" s="605">
        <v>52.507799999999996</v>
      </c>
      <c r="F24" s="605">
        <v>9.7864</v>
      </c>
      <c r="G24" s="605">
        <v>3.1994000000000002</v>
      </c>
      <c r="H24" s="384">
        <v>5.8342</v>
      </c>
      <c r="I24" s="384">
        <f t="shared" si="6"/>
        <v>97.86399999999999</v>
      </c>
      <c r="J24" s="384">
        <f t="shared" si="6"/>
        <v>31.994000000000003</v>
      </c>
      <c r="K24" s="384">
        <f t="shared" si="6"/>
        <v>58.342</v>
      </c>
      <c r="L24" s="384">
        <v>0</v>
      </c>
      <c r="M24" s="384">
        <v>0</v>
      </c>
      <c r="N24" s="384">
        <v>0</v>
      </c>
      <c r="O24" s="384">
        <v>0</v>
      </c>
      <c r="P24" s="384">
        <v>0</v>
      </c>
      <c r="Q24" s="384">
        <v>0</v>
      </c>
      <c r="R24" s="384">
        <f t="shared" si="7"/>
        <v>0</v>
      </c>
      <c r="S24" s="384">
        <f t="shared" si="7"/>
        <v>0</v>
      </c>
      <c r="T24" s="384">
        <f t="shared" si="7"/>
        <v>0</v>
      </c>
      <c r="U24" s="384">
        <f t="shared" si="8"/>
        <v>97.86399999999999</v>
      </c>
      <c r="V24" s="384">
        <f t="shared" si="8"/>
        <v>31.994000000000003</v>
      </c>
      <c r="W24" s="384">
        <f t="shared" si="8"/>
        <v>58.342</v>
      </c>
      <c r="X24" s="386">
        <f>U24+V24+W24</f>
        <v>188.2</v>
      </c>
    </row>
    <row r="25" spans="1:24" s="169" customFormat="1" ht="16.5" customHeight="1">
      <c r="A25" s="1064" t="s">
        <v>538</v>
      </c>
      <c r="B25" s="1064"/>
      <c r="C25" s="606">
        <f aca="true" t="shared" si="9" ref="C25:W25">SUM(C22:C24)</f>
        <v>266.7876</v>
      </c>
      <c r="D25" s="606">
        <f t="shared" si="9"/>
        <v>87.2146</v>
      </c>
      <c r="E25" s="606">
        <f t="shared" si="9"/>
        <v>159.0478</v>
      </c>
      <c r="F25" s="606">
        <f t="shared" si="9"/>
        <v>29.636400000000002</v>
      </c>
      <c r="G25" s="606">
        <f t="shared" si="9"/>
        <v>9.689400000000001</v>
      </c>
      <c r="H25" s="385">
        <f t="shared" si="9"/>
        <v>17.6742</v>
      </c>
      <c r="I25" s="385">
        <f t="shared" si="9"/>
        <v>296.424</v>
      </c>
      <c r="J25" s="385">
        <f t="shared" si="9"/>
        <v>96.904</v>
      </c>
      <c r="K25" s="385">
        <f t="shared" si="9"/>
        <v>176.722</v>
      </c>
      <c r="L25" s="385">
        <f t="shared" si="9"/>
        <v>0</v>
      </c>
      <c r="M25" s="385">
        <f t="shared" si="9"/>
        <v>0</v>
      </c>
      <c r="N25" s="385">
        <f t="shared" si="9"/>
        <v>0</v>
      </c>
      <c r="O25" s="385">
        <f t="shared" si="9"/>
        <v>0</v>
      </c>
      <c r="P25" s="385">
        <f t="shared" si="9"/>
        <v>0</v>
      </c>
      <c r="Q25" s="385">
        <f t="shared" si="9"/>
        <v>0</v>
      </c>
      <c r="R25" s="385">
        <f t="shared" si="9"/>
        <v>0</v>
      </c>
      <c r="S25" s="385">
        <f t="shared" si="9"/>
        <v>0</v>
      </c>
      <c r="T25" s="385">
        <f t="shared" si="9"/>
        <v>0</v>
      </c>
      <c r="U25" s="385">
        <f t="shared" si="9"/>
        <v>296.424</v>
      </c>
      <c r="V25" s="385">
        <f t="shared" si="9"/>
        <v>96.904</v>
      </c>
      <c r="W25" s="385">
        <f t="shared" si="9"/>
        <v>176.722</v>
      </c>
      <c r="X25" s="386">
        <f t="shared" si="3"/>
        <v>570.05</v>
      </c>
    </row>
    <row r="26" spans="1:24" s="169" customFormat="1" ht="16.5" customHeight="1">
      <c r="A26" s="1064" t="s">
        <v>750</v>
      </c>
      <c r="B26" s="1064"/>
      <c r="C26" s="606">
        <f aca="true" t="shared" si="10" ref="C26:X26">C20+C25</f>
        <v>1813.7015968386</v>
      </c>
      <c r="D26" s="606">
        <f t="shared" si="10"/>
        <v>592.9364835818501</v>
      </c>
      <c r="E26" s="606">
        <f t="shared" si="10"/>
        <v>1081.2465288845501</v>
      </c>
      <c r="F26" s="606">
        <f t="shared" si="10"/>
        <v>390.64808999999997</v>
      </c>
      <c r="G26" s="606">
        <f t="shared" si="10"/>
        <v>127.71245250000001</v>
      </c>
      <c r="H26" s="385">
        <f t="shared" si="10"/>
        <v>232.89270750000003</v>
      </c>
      <c r="I26" s="385">
        <f t="shared" si="10"/>
        <v>2204.3496868386</v>
      </c>
      <c r="J26" s="385">
        <f t="shared" si="10"/>
        <v>720.64893608185</v>
      </c>
      <c r="K26" s="385">
        <f t="shared" si="10"/>
        <v>1314.13923638455</v>
      </c>
      <c r="L26" s="385">
        <f t="shared" si="10"/>
        <v>1272.0121565528</v>
      </c>
      <c r="M26" s="385">
        <f t="shared" si="10"/>
        <v>415.85012810379993</v>
      </c>
      <c r="N26" s="385">
        <f t="shared" si="10"/>
        <v>758.3149394833998</v>
      </c>
      <c r="O26" s="385">
        <f t="shared" si="10"/>
        <v>220.310636</v>
      </c>
      <c r="P26" s="385">
        <f t="shared" si="10"/>
        <v>72.024631</v>
      </c>
      <c r="Q26" s="385">
        <f t="shared" si="10"/>
        <v>131.339033</v>
      </c>
      <c r="R26" s="385">
        <f t="shared" si="10"/>
        <v>1492.3227925528</v>
      </c>
      <c r="S26" s="385">
        <f t="shared" si="10"/>
        <v>487.87475910379993</v>
      </c>
      <c r="T26" s="385">
        <f t="shared" si="10"/>
        <v>889.6539724833998</v>
      </c>
      <c r="U26" s="385">
        <f t="shared" si="10"/>
        <v>3696.6724793914</v>
      </c>
      <c r="V26" s="385">
        <f t="shared" si="10"/>
        <v>1208.5236951856502</v>
      </c>
      <c r="W26" s="385">
        <f t="shared" si="10"/>
        <v>2203.7932088679504</v>
      </c>
      <c r="X26" s="385">
        <f t="shared" si="10"/>
        <v>7108.989383445</v>
      </c>
    </row>
    <row r="27" spans="1:24" s="169" customFormat="1" ht="18.75" customHeight="1">
      <c r="A27" s="574">
        <v>9</v>
      </c>
      <c r="B27" s="573" t="s">
        <v>1012</v>
      </c>
      <c r="C27" s="607">
        <f aca="true" t="shared" si="11" ref="C27:H27">C26*5%</f>
        <v>90.68507984193</v>
      </c>
      <c r="D27" s="607">
        <f t="shared" si="11"/>
        <v>29.646824179092505</v>
      </c>
      <c r="E27" s="607">
        <f t="shared" si="11"/>
        <v>54.06232644422751</v>
      </c>
      <c r="F27" s="607">
        <f t="shared" si="11"/>
        <v>19.5324045</v>
      </c>
      <c r="G27" s="607">
        <f t="shared" si="11"/>
        <v>6.385622625000001</v>
      </c>
      <c r="H27" s="550">
        <f t="shared" si="11"/>
        <v>11.644635375000002</v>
      </c>
      <c r="I27" s="550">
        <f>C27+F27</f>
        <v>110.21748434193</v>
      </c>
      <c r="J27" s="550">
        <f>D27+G27</f>
        <v>36.03244680409251</v>
      </c>
      <c r="K27" s="550">
        <f>E27+H27</f>
        <v>65.70696181922752</v>
      </c>
      <c r="L27" s="550">
        <f aca="true" t="shared" si="12" ref="L27:Q27">L26*5%</f>
        <v>63.600607827640005</v>
      </c>
      <c r="M27" s="550">
        <f t="shared" si="12"/>
        <v>20.792506405189997</v>
      </c>
      <c r="N27" s="550">
        <f t="shared" si="12"/>
        <v>37.91574697416999</v>
      </c>
      <c r="O27" s="550">
        <f t="shared" si="12"/>
        <v>11.0155318</v>
      </c>
      <c r="P27" s="550">
        <f t="shared" si="12"/>
        <v>3.60123155</v>
      </c>
      <c r="Q27" s="550">
        <f t="shared" si="12"/>
        <v>6.56695165</v>
      </c>
      <c r="R27" s="550">
        <f>L27+O27</f>
        <v>74.61613962764001</v>
      </c>
      <c r="S27" s="550">
        <f>M27+P27</f>
        <v>24.393737955189998</v>
      </c>
      <c r="T27" s="550">
        <f>N27+Q27</f>
        <v>44.48269862416999</v>
      </c>
      <c r="U27" s="550">
        <f>I27+R27</f>
        <v>184.83362396957</v>
      </c>
      <c r="V27" s="550">
        <f>J27+S27</f>
        <v>60.426184759282506</v>
      </c>
      <c r="W27" s="550">
        <f>K27+T27</f>
        <v>110.18966044339751</v>
      </c>
      <c r="X27" s="497">
        <f>U27+V27+W27</f>
        <v>355.44946917225</v>
      </c>
    </row>
    <row r="28" spans="1:24" s="169" customFormat="1" ht="16.5" customHeight="1">
      <c r="A28" s="1064" t="s">
        <v>33</v>
      </c>
      <c r="B28" s="1064"/>
      <c r="C28" s="606">
        <f>C27+C26</f>
        <v>1904.38667668053</v>
      </c>
      <c r="D28" s="606">
        <f aca="true" t="shared" si="13" ref="D28:X28">D27+D26</f>
        <v>622.5833077609426</v>
      </c>
      <c r="E28" s="606">
        <f t="shared" si="13"/>
        <v>1135.3088553287776</v>
      </c>
      <c r="F28" s="606">
        <f t="shared" si="13"/>
        <v>410.18049449999995</v>
      </c>
      <c r="G28" s="606">
        <f t="shared" si="13"/>
        <v>134.098075125</v>
      </c>
      <c r="H28" s="385">
        <f t="shared" si="13"/>
        <v>244.53734287500004</v>
      </c>
      <c r="I28" s="385">
        <f t="shared" si="13"/>
        <v>2314.56717118053</v>
      </c>
      <c r="J28" s="385">
        <f t="shared" si="13"/>
        <v>756.6813828859425</v>
      </c>
      <c r="K28" s="385">
        <f t="shared" si="13"/>
        <v>1379.8461982037775</v>
      </c>
      <c r="L28" s="385">
        <f t="shared" si="13"/>
        <v>1335.61276438044</v>
      </c>
      <c r="M28" s="385">
        <f t="shared" si="13"/>
        <v>436.64263450898994</v>
      </c>
      <c r="N28" s="385">
        <f t="shared" si="13"/>
        <v>796.2306864575698</v>
      </c>
      <c r="O28" s="385">
        <f t="shared" si="13"/>
        <v>231.32616779999998</v>
      </c>
      <c r="P28" s="385">
        <f t="shared" si="13"/>
        <v>75.62586255</v>
      </c>
      <c r="Q28" s="385">
        <f t="shared" si="13"/>
        <v>137.90598465</v>
      </c>
      <c r="R28" s="385">
        <f t="shared" si="13"/>
        <v>1566.93893218044</v>
      </c>
      <c r="S28" s="385">
        <f t="shared" si="13"/>
        <v>512.26849705899</v>
      </c>
      <c r="T28" s="385">
        <f t="shared" si="13"/>
        <v>934.1366711075698</v>
      </c>
      <c r="U28" s="385">
        <f t="shared" si="13"/>
        <v>3881.50610336097</v>
      </c>
      <c r="V28" s="385">
        <f t="shared" si="13"/>
        <v>1268.9498799449327</v>
      </c>
      <c r="W28" s="385">
        <f t="shared" si="13"/>
        <v>2313.9828693113477</v>
      </c>
      <c r="X28" s="385">
        <f t="shared" si="13"/>
        <v>7464.438852617251</v>
      </c>
    </row>
    <row r="29" spans="1:24" s="169" customFormat="1" ht="16.5" customHeight="1">
      <c r="A29" s="494"/>
      <c r="B29" s="494" t="s">
        <v>10</v>
      </c>
      <c r="C29" s="637"/>
      <c r="D29" s="637"/>
      <c r="E29" s="637"/>
      <c r="F29" s="637"/>
      <c r="G29" s="637"/>
      <c r="H29" s="495"/>
      <c r="I29" s="495"/>
      <c r="J29" s="495"/>
      <c r="K29" s="495"/>
      <c r="L29" s="495"/>
      <c r="M29" s="495"/>
      <c r="N29" s="495"/>
      <c r="O29" s="495"/>
      <c r="P29" s="495"/>
      <c r="Q29" s="495"/>
      <c r="R29" s="495"/>
      <c r="S29" s="495"/>
      <c r="T29" s="495"/>
      <c r="U29" s="495"/>
      <c r="V29" s="495"/>
      <c r="W29" s="495"/>
      <c r="X29" s="495"/>
    </row>
    <row r="30" spans="13:24" ht="12.75">
      <c r="M30" s="164" t="s">
        <v>1064</v>
      </c>
      <c r="Q30" s="164" t="s">
        <v>10</v>
      </c>
      <c r="X30" s="164" t="s">
        <v>10</v>
      </c>
    </row>
    <row r="31" spans="2:24" ht="12.75">
      <c r="B31" s="391"/>
      <c r="P31" s="164" t="s">
        <v>10</v>
      </c>
      <c r="X31" s="164" t="s">
        <v>10</v>
      </c>
    </row>
    <row r="32" spans="1:21" ht="12.75">
      <c r="A32" s="1059"/>
      <c r="B32" s="1059"/>
      <c r="C32" s="1059"/>
      <c r="D32" s="1059"/>
      <c r="E32" s="1059"/>
      <c r="F32" s="1059"/>
      <c r="G32" s="1059"/>
      <c r="H32" s="1059"/>
      <c r="I32" s="1059"/>
      <c r="J32" s="173"/>
      <c r="K32" s="173"/>
      <c r="L32" s="173" t="s">
        <v>10</v>
      </c>
      <c r="M32" s="173" t="s">
        <v>10</v>
      </c>
      <c r="N32" s="173"/>
      <c r="O32" s="1059"/>
      <c r="P32" s="1059"/>
      <c r="Q32" s="1059"/>
      <c r="R32" s="1059"/>
      <c r="S32" s="1059"/>
      <c r="T32" s="1059"/>
      <c r="U32" s="1059"/>
    </row>
    <row r="33" spans="1:21" ht="15.75" customHeight="1">
      <c r="A33" s="174" t="s">
        <v>11</v>
      </c>
      <c r="B33" s="174"/>
      <c r="C33" s="174"/>
      <c r="D33" s="174"/>
      <c r="E33" s="174"/>
      <c r="F33" s="174"/>
      <c r="G33" s="174"/>
      <c r="H33" s="174"/>
      <c r="I33" s="174"/>
      <c r="J33" s="174"/>
      <c r="K33" s="174" t="s">
        <v>10</v>
      </c>
      <c r="L33" s="174"/>
      <c r="M33" s="174"/>
      <c r="N33" s="174"/>
      <c r="Q33" s="1060"/>
      <c r="R33" s="1060"/>
      <c r="S33" s="1060"/>
      <c r="T33" s="1060"/>
      <c r="U33" s="1060"/>
    </row>
    <row r="34" spans="2:21" ht="15.75" customHeight="1">
      <c r="B34" s="358"/>
      <c r="C34" s="358"/>
      <c r="D34" s="358"/>
      <c r="E34" s="358"/>
      <c r="F34" s="358"/>
      <c r="G34" s="358"/>
      <c r="H34" s="358"/>
      <c r="I34" s="358"/>
      <c r="J34" s="358"/>
      <c r="K34" s="358"/>
      <c r="L34" s="358"/>
      <c r="M34" s="358"/>
      <c r="N34" s="358"/>
      <c r="O34" s="358"/>
      <c r="P34" s="358"/>
      <c r="Q34" s="1060" t="s">
        <v>819</v>
      </c>
      <c r="R34" s="1060"/>
      <c r="S34" s="1060"/>
      <c r="T34" s="1060"/>
      <c r="U34" s="1060"/>
    </row>
    <row r="35" spans="2:21" ht="15.75" customHeight="1">
      <c r="B35" s="358"/>
      <c r="C35" s="358"/>
      <c r="D35" s="358"/>
      <c r="E35" s="358"/>
      <c r="F35" s="358"/>
      <c r="G35" s="358"/>
      <c r="H35" s="358"/>
      <c r="I35" s="358"/>
      <c r="J35" s="358"/>
      <c r="K35" s="358"/>
      <c r="L35" s="358"/>
      <c r="M35" s="358"/>
      <c r="N35" s="358"/>
      <c r="O35" s="358"/>
      <c r="P35" s="358"/>
      <c r="Q35" s="1060" t="s">
        <v>488</v>
      </c>
      <c r="R35" s="1060"/>
      <c r="S35" s="1060"/>
      <c r="T35" s="1060"/>
      <c r="U35" s="1060"/>
    </row>
    <row r="36" spans="18:23" ht="12.75">
      <c r="R36" s="1058" t="s">
        <v>80</v>
      </c>
      <c r="S36" s="1058"/>
      <c r="T36" s="1058"/>
      <c r="U36" s="1058"/>
      <c r="V36" s="1058"/>
      <c r="W36" s="1058"/>
    </row>
    <row r="41" spans="1:18" ht="12.75">
      <c r="A41" s="1081" t="s">
        <v>210</v>
      </c>
      <c r="B41" s="1081"/>
      <c r="C41" s="1081"/>
      <c r="D41" s="1081"/>
      <c r="E41" s="237"/>
      <c r="F41" s="237"/>
      <c r="G41" s="237" t="s">
        <v>10</v>
      </c>
      <c r="H41" s="237"/>
      <c r="I41" s="237"/>
      <c r="J41" s="237"/>
      <c r="K41" s="237"/>
      <c r="L41" s="242"/>
      <c r="M41" s="248"/>
      <c r="N41" s="248"/>
      <c r="O41" s="248"/>
      <c r="P41" s="248"/>
      <c r="Q41" s="248"/>
      <c r="R41" s="248"/>
    </row>
    <row r="42" spans="1:18" ht="12.75">
      <c r="A42" s="243" t="s">
        <v>108</v>
      </c>
      <c r="B42" s="244" t="s">
        <v>179</v>
      </c>
      <c r="C42" s="244"/>
      <c r="D42" s="237"/>
      <c r="E42" s="237"/>
      <c r="F42" s="237"/>
      <c r="G42" s="237"/>
      <c r="H42" s="237"/>
      <c r="I42" s="237"/>
      <c r="J42" s="237"/>
      <c r="K42" s="237"/>
      <c r="L42" s="237"/>
      <c r="M42" s="237"/>
      <c r="N42" s="237"/>
      <c r="O42" s="237"/>
      <c r="P42" s="237"/>
      <c r="Q42" s="237"/>
      <c r="R42" s="237"/>
    </row>
    <row r="43" spans="1:18" ht="12.75">
      <c r="A43" s="243" t="s">
        <v>135</v>
      </c>
      <c r="B43" s="1081" t="s">
        <v>737</v>
      </c>
      <c r="C43" s="1081"/>
      <c r="D43" s="1081"/>
      <c r="E43" s="1081"/>
      <c r="F43" s="526"/>
      <c r="G43" s="237"/>
      <c r="H43" s="237"/>
      <c r="I43" s="237"/>
      <c r="J43" s="237"/>
      <c r="K43" s="237"/>
      <c r="L43" s="237"/>
      <c r="M43" s="237"/>
      <c r="N43" s="237"/>
      <c r="O43" s="237"/>
      <c r="P43" s="237"/>
      <c r="Q43" s="237"/>
      <c r="R43" s="237"/>
    </row>
    <row r="44" spans="1:18" ht="12.75">
      <c r="A44" s="244" t="s">
        <v>136</v>
      </c>
      <c r="B44" s="1081" t="s">
        <v>738</v>
      </c>
      <c r="C44" s="1081"/>
      <c r="D44" s="1081"/>
      <c r="E44" s="1081"/>
      <c r="F44" s="526"/>
      <c r="G44" s="237"/>
      <c r="H44" s="237"/>
      <c r="I44" s="237"/>
      <c r="J44" s="237"/>
      <c r="K44" s="237"/>
      <c r="L44" s="237"/>
      <c r="M44" s="237"/>
      <c r="N44" s="237"/>
      <c r="O44" s="237"/>
      <c r="P44" s="237"/>
      <c r="Q44" s="237"/>
      <c r="R44" s="237"/>
    </row>
    <row r="45" spans="1:18" ht="12.75">
      <c r="A45" s="244" t="s">
        <v>154</v>
      </c>
      <c r="B45" s="1081" t="s">
        <v>751</v>
      </c>
      <c r="C45" s="1081"/>
      <c r="D45" s="1081"/>
      <c r="E45" s="1081"/>
      <c r="F45" s="1081"/>
      <c r="G45" s="1081"/>
      <c r="H45" s="1081"/>
      <c r="I45" s="1081"/>
      <c r="J45" s="1081"/>
      <c r="K45" s="1081"/>
      <c r="L45" s="1081"/>
      <c r="M45" s="1081"/>
      <c r="N45" s="1081"/>
      <c r="O45" s="1081"/>
      <c r="P45" s="1081"/>
      <c r="Q45" s="1081"/>
      <c r="R45" s="1081"/>
    </row>
    <row r="46" spans="1:18" ht="12.75">
      <c r="A46" s="244" t="s">
        <v>112</v>
      </c>
      <c r="B46" s="244" t="s">
        <v>227</v>
      </c>
      <c r="C46" s="244"/>
      <c r="D46" s="237"/>
      <c r="E46" s="237"/>
      <c r="F46" s="237"/>
      <c r="G46" s="237"/>
      <c r="H46" s="237"/>
      <c r="I46" s="237"/>
      <c r="J46" s="237"/>
      <c r="K46" s="237"/>
      <c r="L46" s="237"/>
      <c r="M46" s="237"/>
      <c r="N46" s="237"/>
      <c r="O46" s="237"/>
      <c r="P46" s="237"/>
      <c r="Q46" s="237"/>
      <c r="R46" s="237"/>
    </row>
    <row r="47" spans="1:18" ht="12.75">
      <c r="A47" s="244" t="s">
        <v>113</v>
      </c>
      <c r="B47" s="244" t="s">
        <v>229</v>
      </c>
      <c r="C47" s="244"/>
      <c r="D47" s="237"/>
      <c r="E47" s="237"/>
      <c r="F47" s="237"/>
      <c r="G47" s="237"/>
      <c r="H47" s="237"/>
      <c r="I47" s="237"/>
      <c r="J47" s="237"/>
      <c r="K47" s="237"/>
      <c r="L47" s="237"/>
      <c r="M47" s="237"/>
      <c r="N47" s="237"/>
      <c r="O47" s="237"/>
      <c r="P47" s="237"/>
      <c r="Q47" s="237"/>
      <c r="R47" s="237"/>
    </row>
    <row r="48" spans="1:18" ht="12.75">
      <c r="A48" s="244"/>
      <c r="B48" s="244" t="s">
        <v>230</v>
      </c>
      <c r="C48" s="244"/>
      <c r="D48" s="237"/>
      <c r="E48" s="237"/>
      <c r="F48" s="237"/>
      <c r="G48" s="237"/>
      <c r="H48" s="237"/>
      <c r="I48" s="237"/>
      <c r="J48" s="237"/>
      <c r="K48" s="237"/>
      <c r="L48" s="237"/>
      <c r="M48" s="237"/>
      <c r="N48" s="237"/>
      <c r="O48" s="237"/>
      <c r="P48" s="237"/>
      <c r="Q48" s="237"/>
      <c r="R48" s="237"/>
    </row>
    <row r="49" spans="1:18" ht="12.75">
      <c r="A49" s="244"/>
      <c r="B49" s="244"/>
      <c r="C49" s="244"/>
      <c r="D49" s="237"/>
      <c r="E49" s="237"/>
      <c r="F49" s="237"/>
      <c r="G49" s="237"/>
      <c r="H49" s="237"/>
      <c r="I49" s="237"/>
      <c r="J49" s="237"/>
      <c r="K49" s="237"/>
      <c r="L49" s="237"/>
      <c r="M49" s="237"/>
      <c r="N49" s="237"/>
      <c r="O49" s="237"/>
      <c r="P49" s="237"/>
      <c r="Q49" s="237"/>
      <c r="R49" s="237"/>
    </row>
    <row r="50" spans="1:18" ht="12.75">
      <c r="A50" s="244" t="s">
        <v>509</v>
      </c>
      <c r="B50" s="244" t="s">
        <v>513</v>
      </c>
      <c r="C50" s="244"/>
      <c r="D50" s="237"/>
      <c r="E50" s="237"/>
      <c r="F50" s="237"/>
      <c r="G50" s="237"/>
      <c r="H50" s="237"/>
      <c r="I50" s="237"/>
      <c r="J50" s="237"/>
      <c r="K50" s="237"/>
      <c r="L50" s="237"/>
      <c r="M50" s="237"/>
      <c r="N50" s="237"/>
      <c r="O50" s="237"/>
      <c r="P50" s="237"/>
      <c r="Q50" s="237"/>
      <c r="R50" s="237"/>
    </row>
    <row r="51" spans="1:18" ht="12.75">
      <c r="A51" s="244"/>
      <c r="B51" s="244" t="s">
        <v>682</v>
      </c>
      <c r="C51" s="244"/>
      <c r="D51" s="237"/>
      <c r="E51" s="237"/>
      <c r="F51" s="237"/>
      <c r="G51" s="237"/>
      <c r="H51" s="237"/>
      <c r="I51" s="237"/>
      <c r="J51" s="237"/>
      <c r="K51" s="237"/>
      <c r="L51" s="237"/>
      <c r="M51" s="237"/>
      <c r="N51" s="237"/>
      <c r="O51" s="237"/>
      <c r="P51" s="237"/>
      <c r="Q51" s="237"/>
      <c r="R51" s="237"/>
    </row>
    <row r="52" spans="1:18" ht="12.75">
      <c r="A52" s="244"/>
      <c r="B52" s="244" t="s">
        <v>558</v>
      </c>
      <c r="C52" s="244"/>
      <c r="D52" s="237"/>
      <c r="E52" s="237"/>
      <c r="F52" s="237"/>
      <c r="G52" s="237"/>
      <c r="H52" s="237"/>
      <c r="I52" s="237"/>
      <c r="J52" s="237"/>
      <c r="K52" s="237"/>
      <c r="L52" s="237"/>
      <c r="M52" s="237"/>
      <c r="N52" s="237"/>
      <c r="O52" s="237"/>
      <c r="P52" s="237"/>
      <c r="Q52" s="237"/>
      <c r="R52" s="237"/>
    </row>
  </sheetData>
  <sheetProtection/>
  <mergeCells count="34">
    <mergeCell ref="A41:D41"/>
    <mergeCell ref="B43:E43"/>
    <mergeCell ref="B44:E44"/>
    <mergeCell ref="B45:R45"/>
    <mergeCell ref="O1:U1"/>
    <mergeCell ref="A8:B8"/>
    <mergeCell ref="C11:E11"/>
    <mergeCell ref="F11:H11"/>
    <mergeCell ref="I11:K11"/>
    <mergeCell ref="L11:N11"/>
    <mergeCell ref="A2:X2"/>
    <mergeCell ref="A20:B20"/>
    <mergeCell ref="A25:B25"/>
    <mergeCell ref="A4:X4"/>
    <mergeCell ref="B10:B12"/>
    <mergeCell ref="A6:X6"/>
    <mergeCell ref="O11:Q11"/>
    <mergeCell ref="V9:W9"/>
    <mergeCell ref="C10:K10"/>
    <mergeCell ref="X10:X12"/>
    <mergeCell ref="U10:W11"/>
    <mergeCell ref="A14:B14"/>
    <mergeCell ref="A28:B28"/>
    <mergeCell ref="A26:B26"/>
    <mergeCell ref="A21:B21"/>
    <mergeCell ref="L10:T10"/>
    <mergeCell ref="R11:T11"/>
    <mergeCell ref="A10:A12"/>
    <mergeCell ref="R36:W36"/>
    <mergeCell ref="A32:I32"/>
    <mergeCell ref="O32:U32"/>
    <mergeCell ref="Q35:U35"/>
    <mergeCell ref="Q33:U33"/>
    <mergeCell ref="Q34:U34"/>
  </mergeCells>
  <printOptions horizontalCentered="1"/>
  <pageMargins left="0.54" right="0.21" top="1.3" bottom="0" header="0.78" footer="0.31496062992125984"/>
  <pageSetup fitToHeight="1" fitToWidth="1" horizontalDpi="600" verticalDpi="600" orientation="landscape" paperSize="9" scale="64" r:id="rId1"/>
  <colBreaks count="1" manualBreakCount="1">
    <brk id="23" max="65535" man="1"/>
  </colBreaks>
</worksheet>
</file>

<file path=xl/worksheets/sheet69.xml><?xml version="1.0" encoding="utf-8"?>
<worksheet xmlns="http://schemas.openxmlformats.org/spreadsheetml/2006/main" xmlns:r="http://schemas.openxmlformats.org/officeDocument/2006/relationships">
  <dimension ref="A2:N31"/>
  <sheetViews>
    <sheetView zoomScalePageLayoutView="0" workbookViewId="0" topLeftCell="A1">
      <selection activeCell="K12" sqref="K12"/>
    </sheetView>
  </sheetViews>
  <sheetFormatPr defaultColWidth="9.140625" defaultRowHeight="12.75"/>
  <cols>
    <col min="1" max="1" width="6.421875" style="0" customWidth="1"/>
    <col min="2" max="2" width="12.28125" style="0" customWidth="1"/>
    <col min="3" max="3" width="11.00390625" style="0" customWidth="1"/>
    <col min="4" max="4" width="10.421875" style="0" customWidth="1"/>
    <col min="5" max="8" width="14.421875" style="0" customWidth="1"/>
    <col min="9" max="9" width="11.421875" style="0" customWidth="1"/>
    <col min="10" max="10" width="11.00390625" style="0" customWidth="1"/>
    <col min="11" max="12" width="11.140625" style="0" customWidth="1"/>
  </cols>
  <sheetData>
    <row r="2" spans="5:9" ht="12.75">
      <c r="E2" s="697"/>
      <c r="F2" s="697"/>
      <c r="G2" s="697"/>
      <c r="I2" s="517" t="s">
        <v>781</v>
      </c>
    </row>
    <row r="3" spans="1:10" ht="15">
      <c r="A3" s="751" t="s">
        <v>0</v>
      </c>
      <c r="B3" s="751"/>
      <c r="C3" s="751"/>
      <c r="D3" s="751"/>
      <c r="E3" s="751"/>
      <c r="F3" s="751"/>
      <c r="G3" s="751"/>
      <c r="H3" s="751"/>
      <c r="I3" s="751"/>
      <c r="J3" s="751"/>
    </row>
    <row r="4" spans="1:10" ht="20.25">
      <c r="A4" s="645" t="s">
        <v>854</v>
      </c>
      <c r="B4" s="645"/>
      <c r="C4" s="645"/>
      <c r="D4" s="645"/>
      <c r="E4" s="645"/>
      <c r="F4" s="645"/>
      <c r="G4" s="645"/>
      <c r="H4" s="645"/>
      <c r="I4" s="645"/>
      <c r="J4" s="645"/>
    </row>
    <row r="5" ht="14.25" customHeight="1"/>
    <row r="6" spans="1:10" s="16" customFormat="1" ht="19.5" customHeight="1">
      <c r="A6" s="752" t="s">
        <v>1009</v>
      </c>
      <c r="B6" s="752"/>
      <c r="C6" s="752"/>
      <c r="D6" s="752"/>
      <c r="E6" s="752"/>
      <c r="F6" s="752"/>
      <c r="G6" s="752"/>
      <c r="H6" s="752"/>
      <c r="I6" s="752"/>
      <c r="J6" s="752"/>
    </row>
    <row r="7" spans="1:8" s="16" customFormat="1" ht="13.5" customHeight="1">
      <c r="A7" s="1"/>
      <c r="B7" s="1"/>
      <c r="C7" s="1"/>
      <c r="D7" s="1"/>
      <c r="E7" s="1"/>
      <c r="F7" s="1"/>
      <c r="G7" s="1"/>
      <c r="H7" s="1"/>
    </row>
    <row r="8" s="16" customFormat="1" ht="0.75" customHeight="1"/>
    <row r="9" spans="1:8" s="16" customFormat="1" ht="12.75">
      <c r="A9" s="699" t="s">
        <v>475</v>
      </c>
      <c r="B9" s="699"/>
      <c r="C9" s="29"/>
      <c r="G9" s="828"/>
      <c r="H9" s="828"/>
    </row>
    <row r="10" spans="1:13" s="16" customFormat="1" ht="12.75">
      <c r="A10" s="29"/>
      <c r="B10" s="29"/>
      <c r="C10" s="29"/>
      <c r="G10" s="518"/>
      <c r="H10" s="828" t="s">
        <v>934</v>
      </c>
      <c r="I10" s="828"/>
      <c r="J10" s="828"/>
      <c r="M10" s="21"/>
    </row>
    <row r="11" spans="1:14" s="16" customFormat="1" ht="18" customHeight="1">
      <c r="A11" s="653" t="s">
        <v>2</v>
      </c>
      <c r="B11" s="1023" t="s">
        <v>3</v>
      </c>
      <c r="C11" s="678" t="s">
        <v>782</v>
      </c>
      <c r="D11" s="678"/>
      <c r="E11" s="678" t="s">
        <v>125</v>
      </c>
      <c r="F11" s="678"/>
      <c r="G11" s="678" t="s">
        <v>783</v>
      </c>
      <c r="H11" s="678"/>
      <c r="I11" s="708" t="s">
        <v>126</v>
      </c>
      <c r="J11" s="710"/>
      <c r="K11" s="708" t="s">
        <v>127</v>
      </c>
      <c r="L11" s="710"/>
      <c r="M11" s="21"/>
      <c r="N11" s="21"/>
    </row>
    <row r="12" spans="1:13" s="16" customFormat="1" ht="37.5" customHeight="1">
      <c r="A12" s="653"/>
      <c r="B12" s="1023"/>
      <c r="C12" s="257" t="s">
        <v>784</v>
      </c>
      <c r="D12" s="257" t="s">
        <v>785</v>
      </c>
      <c r="E12" s="257" t="s">
        <v>786</v>
      </c>
      <c r="F12" s="257" t="s">
        <v>787</v>
      </c>
      <c r="G12" s="257" t="s">
        <v>786</v>
      </c>
      <c r="H12" s="257" t="s">
        <v>787</v>
      </c>
      <c r="I12" s="257" t="s">
        <v>784</v>
      </c>
      <c r="J12" s="257" t="s">
        <v>785</v>
      </c>
      <c r="K12" s="257" t="s">
        <v>784</v>
      </c>
      <c r="L12" s="257" t="s">
        <v>785</v>
      </c>
      <c r="M12" s="21"/>
    </row>
    <row r="13" spans="1:12" s="16" customFormat="1" ht="12.75">
      <c r="A13" s="5">
        <v>1</v>
      </c>
      <c r="B13" s="299">
        <v>2</v>
      </c>
      <c r="C13" s="5">
        <v>3</v>
      </c>
      <c r="D13" s="5">
        <v>4</v>
      </c>
      <c r="E13" s="5">
        <v>5</v>
      </c>
      <c r="F13" s="5">
        <v>6</v>
      </c>
      <c r="G13" s="5">
        <v>7</v>
      </c>
      <c r="H13" s="5">
        <v>8</v>
      </c>
      <c r="I13" s="5">
        <v>9</v>
      </c>
      <c r="J13" s="5">
        <v>10</v>
      </c>
      <c r="K13" s="5">
        <v>11</v>
      </c>
      <c r="L13" s="5">
        <v>12</v>
      </c>
    </row>
    <row r="14" spans="1:12" s="16" customFormat="1" ht="15.75" customHeight="1">
      <c r="A14" s="271">
        <v>1</v>
      </c>
      <c r="B14" s="276" t="s">
        <v>476</v>
      </c>
      <c r="C14" s="276"/>
      <c r="D14" s="276"/>
      <c r="E14" s="276"/>
      <c r="F14" s="276"/>
      <c r="G14" s="276"/>
      <c r="H14" s="276"/>
      <c r="I14" s="276"/>
      <c r="J14" s="276"/>
      <c r="K14" s="276"/>
      <c r="L14" s="276"/>
    </row>
    <row r="15" spans="1:12" s="16" customFormat="1" ht="15.75" customHeight="1">
      <c r="A15" s="271">
        <v>2</v>
      </c>
      <c r="B15" s="276" t="s">
        <v>477</v>
      </c>
      <c r="C15" s="276"/>
      <c r="D15" s="276"/>
      <c r="E15" s="276"/>
      <c r="F15" s="276"/>
      <c r="G15" s="276"/>
      <c r="H15" s="276"/>
      <c r="I15" s="276"/>
      <c r="J15" s="276"/>
      <c r="K15" s="276"/>
      <c r="L15" s="276"/>
    </row>
    <row r="16" spans="1:12" s="16" customFormat="1" ht="15.75" customHeight="1">
      <c r="A16" s="271">
        <v>3</v>
      </c>
      <c r="B16" s="276" t="s">
        <v>478</v>
      </c>
      <c r="C16" s="276"/>
      <c r="D16" s="276"/>
      <c r="E16" s="276"/>
      <c r="F16" s="276"/>
      <c r="G16" s="276"/>
      <c r="H16" s="276"/>
      <c r="I16" s="276"/>
      <c r="J16" s="276"/>
      <c r="K16" s="276"/>
      <c r="L16" s="276"/>
    </row>
    <row r="17" spans="1:12" s="16" customFormat="1" ht="15.75" customHeight="1">
      <c r="A17" s="271">
        <v>4</v>
      </c>
      <c r="B17" s="276" t="s">
        <v>479</v>
      </c>
      <c r="C17" s="276"/>
      <c r="D17" s="276"/>
      <c r="E17" s="276"/>
      <c r="F17" s="276"/>
      <c r="G17" s="276"/>
      <c r="H17" s="276"/>
      <c r="I17" s="276"/>
      <c r="J17" s="276"/>
      <c r="K17" s="276"/>
      <c r="L17" s="276"/>
    </row>
    <row r="18" spans="1:12" s="16" customFormat="1" ht="15.75" customHeight="1">
      <c r="A18" s="271">
        <v>5</v>
      </c>
      <c r="B18" s="276" t="s">
        <v>480</v>
      </c>
      <c r="C18" s="276"/>
      <c r="D18" s="276"/>
      <c r="E18" s="276" t="s">
        <v>10</v>
      </c>
      <c r="F18" s="276"/>
      <c r="G18" s="276"/>
      <c r="H18" s="276"/>
      <c r="I18" s="276"/>
      <c r="J18" s="276"/>
      <c r="K18" s="276"/>
      <c r="L18" s="276"/>
    </row>
    <row r="19" spans="1:12" s="16" customFormat="1" ht="15.75" customHeight="1">
      <c r="A19" s="271">
        <v>6</v>
      </c>
      <c r="B19" s="276" t="s">
        <v>481</v>
      </c>
      <c r="C19" s="276"/>
      <c r="D19" s="276"/>
      <c r="E19" s="276"/>
      <c r="F19" s="276"/>
      <c r="G19" s="276"/>
      <c r="H19" s="276"/>
      <c r="I19" s="276"/>
      <c r="J19" s="276"/>
      <c r="K19" s="276"/>
      <c r="L19" s="276"/>
    </row>
    <row r="20" spans="1:12" s="16" customFormat="1" ht="15.75" customHeight="1">
      <c r="A20" s="271">
        <v>7</v>
      </c>
      <c r="B20" s="276" t="s">
        <v>482</v>
      </c>
      <c r="C20" s="276"/>
      <c r="D20" s="276"/>
      <c r="E20" s="276"/>
      <c r="F20" s="276"/>
      <c r="G20" s="276"/>
      <c r="H20" s="276"/>
      <c r="I20" s="276"/>
      <c r="J20" s="276"/>
      <c r="K20" s="276"/>
      <c r="L20" s="276"/>
    </row>
    <row r="21" spans="1:12" s="16" customFormat="1" ht="15.75" customHeight="1">
      <c r="A21" s="271">
        <v>8</v>
      </c>
      <c r="B21" s="276" t="s">
        <v>483</v>
      </c>
      <c r="C21" s="276"/>
      <c r="D21" s="276"/>
      <c r="E21" s="276"/>
      <c r="F21" s="276"/>
      <c r="G21" s="276"/>
      <c r="H21" s="276"/>
      <c r="I21" s="276"/>
      <c r="J21" s="276"/>
      <c r="K21" s="276"/>
      <c r="L21" s="276"/>
    </row>
    <row r="22" spans="1:12" s="16" customFormat="1" ht="15">
      <c r="A22" s="1083" t="s">
        <v>15</v>
      </c>
      <c r="B22" s="1084"/>
      <c r="C22" s="276"/>
      <c r="D22" s="276"/>
      <c r="E22" s="276"/>
      <c r="F22" s="276"/>
      <c r="G22" s="276"/>
      <c r="H22" s="276"/>
      <c r="I22" s="276"/>
      <c r="J22" s="276"/>
      <c r="K22" s="276"/>
      <c r="L22" s="276"/>
    </row>
    <row r="23" spans="1:8" s="16" customFormat="1" ht="12.75">
      <c r="A23" s="12"/>
      <c r="B23" s="28"/>
      <c r="C23" s="28"/>
      <c r="D23" s="21"/>
      <c r="E23" s="21"/>
      <c r="F23" s="21"/>
      <c r="G23" s="21"/>
      <c r="H23" s="21"/>
    </row>
    <row r="24" spans="1:8" s="16" customFormat="1" ht="12.75">
      <c r="A24" s="12"/>
      <c r="B24" s="28"/>
      <c r="C24" s="28"/>
      <c r="D24" s="21"/>
      <c r="E24" s="21"/>
      <c r="F24" s="21"/>
      <c r="G24" s="21"/>
      <c r="H24" s="21"/>
    </row>
    <row r="25" spans="1:8" s="16" customFormat="1" ht="12.75">
      <c r="A25" s="12"/>
      <c r="B25" s="28"/>
      <c r="C25" s="28"/>
      <c r="D25" s="21"/>
      <c r="E25" s="21"/>
      <c r="F25" s="21"/>
      <c r="G25" s="21"/>
      <c r="H25" s="21"/>
    </row>
    <row r="26" spans="1:13" s="16" customFormat="1" ht="12.75">
      <c r="A26" s="12"/>
      <c r="B26" s="28"/>
      <c r="C26" s="28"/>
      <c r="D26" s="21"/>
      <c r="E26" s="21"/>
      <c r="F26" s="21"/>
      <c r="G26" s="1060"/>
      <c r="H26" s="1060"/>
      <c r="I26" s="1060"/>
      <c r="J26" s="1060"/>
      <c r="K26" s="1060"/>
      <c r="L26" s="164"/>
      <c r="M26" s="164"/>
    </row>
    <row r="27" spans="1:13" s="16" customFormat="1" ht="12.75">
      <c r="A27" s="15" t="s">
        <v>11</v>
      </c>
      <c r="B27" s="28"/>
      <c r="C27" s="28"/>
      <c r="D27" s="21"/>
      <c r="E27" s="21"/>
      <c r="F27" s="21"/>
      <c r="G27" s="1060" t="s">
        <v>819</v>
      </c>
      <c r="H27" s="1060"/>
      <c r="I27" s="1060"/>
      <c r="J27" s="1060"/>
      <c r="K27" s="1060"/>
      <c r="L27" s="164"/>
      <c r="M27" s="164"/>
    </row>
    <row r="28" spans="2:13" s="16" customFormat="1" ht="15.75" customHeight="1">
      <c r="B28" s="15"/>
      <c r="C28" s="15"/>
      <c r="D28" s="15"/>
      <c r="E28" s="15"/>
      <c r="F28" s="15"/>
      <c r="G28" s="1060" t="s">
        <v>488</v>
      </c>
      <c r="H28" s="1060"/>
      <c r="I28" s="1060"/>
      <c r="J28" s="1060"/>
      <c r="K28" s="1060"/>
      <c r="L28" s="164"/>
      <c r="M28" s="164"/>
    </row>
    <row r="29" spans="1:13" s="16" customFormat="1" ht="12.75" customHeight="1">
      <c r="A29" s="86"/>
      <c r="B29" s="86"/>
      <c r="C29" s="86"/>
      <c r="D29" s="86"/>
      <c r="E29" s="86"/>
      <c r="F29" s="86"/>
      <c r="G29" s="164"/>
      <c r="H29" s="1058" t="s">
        <v>80</v>
      </c>
      <c r="I29" s="1058"/>
      <c r="J29" s="1058"/>
      <c r="K29" s="1058"/>
      <c r="L29" s="1058"/>
      <c r="M29" s="1058"/>
    </row>
    <row r="30" spans="1:12" s="16" customFormat="1" ht="12.75" customHeight="1">
      <c r="A30" s="15"/>
      <c r="B30" s="15"/>
      <c r="C30" s="15"/>
      <c r="E30" s="15"/>
      <c r="G30" s="1060"/>
      <c r="H30" s="1060"/>
      <c r="I30" s="1060"/>
      <c r="J30" s="1060"/>
      <c r="K30" s="164"/>
      <c r="L30" s="164"/>
    </row>
    <row r="31" spans="7:12" s="16" customFormat="1" ht="12.75">
      <c r="G31" s="391"/>
      <c r="H31" s="391"/>
      <c r="I31" s="391"/>
      <c r="J31" s="391"/>
      <c r="K31" s="391"/>
      <c r="L31" s="391"/>
    </row>
    <row r="32" s="16" customFormat="1" ht="12.75"/>
  </sheetData>
  <sheetProtection/>
  <mergeCells count="20">
    <mergeCell ref="K11:L11"/>
    <mergeCell ref="G11:H11"/>
    <mergeCell ref="I11:J11"/>
    <mergeCell ref="E2:G2"/>
    <mergeCell ref="A3:J3"/>
    <mergeCell ref="A4:J4"/>
    <mergeCell ref="A6:J6"/>
    <mergeCell ref="A9:B9"/>
    <mergeCell ref="G9:H9"/>
    <mergeCell ref="H10:J10"/>
    <mergeCell ref="A22:B22"/>
    <mergeCell ref="G30:J30"/>
    <mergeCell ref="A11:A12"/>
    <mergeCell ref="B11:B12"/>
    <mergeCell ref="C11:D11"/>
    <mergeCell ref="G26:K26"/>
    <mergeCell ref="G27:K27"/>
    <mergeCell ref="G28:K28"/>
    <mergeCell ref="H29:M29"/>
    <mergeCell ref="E11:F11"/>
  </mergeCells>
  <printOptions/>
  <pageMargins left="0.44"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view="pageBreakPreview" zoomScale="110" zoomScaleSheetLayoutView="110" zoomScalePageLayoutView="0" workbookViewId="0" topLeftCell="A1">
      <selection activeCell="A7" sqref="A7"/>
    </sheetView>
  </sheetViews>
  <sheetFormatPr defaultColWidth="9.140625" defaultRowHeight="12.75"/>
  <cols>
    <col min="1" max="1" width="5.421875" style="0" customWidth="1"/>
    <col min="2" max="2" width="11.8515625" style="0" customWidth="1"/>
    <col min="3" max="3" width="14.00390625" style="0" customWidth="1"/>
    <col min="4" max="4" width="15.00390625" style="0" customWidth="1"/>
    <col min="5" max="5" width="18.421875" style="0" customWidth="1"/>
    <col min="6" max="6" width="17.140625" style="0" customWidth="1"/>
    <col min="7" max="7" width="21.421875" style="0" customWidth="1"/>
    <col min="8" max="8" width="19.00390625" style="0" customWidth="1"/>
    <col min="9" max="9" width="9.8515625" style="0" customWidth="1"/>
  </cols>
  <sheetData>
    <row r="1" spans="1:8" ht="18">
      <c r="A1" s="739" t="s">
        <v>486</v>
      </c>
      <c r="B1" s="739"/>
      <c r="C1" s="739"/>
      <c r="D1" s="739"/>
      <c r="E1" s="739"/>
      <c r="F1" s="739"/>
      <c r="G1" s="739"/>
      <c r="H1" s="181" t="s">
        <v>256</v>
      </c>
    </row>
    <row r="2" spans="1:8" ht="21">
      <c r="A2" s="740" t="s">
        <v>854</v>
      </c>
      <c r="B2" s="740"/>
      <c r="C2" s="740"/>
      <c r="D2" s="740"/>
      <c r="E2" s="740"/>
      <c r="F2" s="740"/>
      <c r="G2" s="740"/>
      <c r="H2" s="740"/>
    </row>
    <row r="3" spans="1:2" ht="15">
      <c r="A3" s="183"/>
      <c r="B3" s="183"/>
    </row>
    <row r="4" spans="1:8" ht="18" customHeight="1">
      <c r="A4" s="741" t="s">
        <v>898</v>
      </c>
      <c r="B4" s="741"/>
      <c r="C4" s="741"/>
      <c r="D4" s="741"/>
      <c r="E4" s="741"/>
      <c r="F4" s="741"/>
      <c r="G4" s="741"/>
      <c r="H4" s="741"/>
    </row>
    <row r="5" spans="1:2" ht="15">
      <c r="A5" s="184" t="s">
        <v>485</v>
      </c>
      <c r="B5" s="184"/>
    </row>
    <row r="6" spans="1:9" ht="15">
      <c r="A6" s="184"/>
      <c r="B6" s="184"/>
      <c r="G6" s="742" t="s">
        <v>856</v>
      </c>
      <c r="H6" s="742"/>
      <c r="I6" s="113"/>
    </row>
    <row r="7" spans="1:8" ht="59.25" customHeight="1">
      <c r="A7" s="265" t="s">
        <v>70</v>
      </c>
      <c r="B7" s="265" t="s">
        <v>3</v>
      </c>
      <c r="C7" s="266" t="s">
        <v>257</v>
      </c>
      <c r="D7" s="266" t="s">
        <v>258</v>
      </c>
      <c r="E7" s="266" t="s">
        <v>259</v>
      </c>
      <c r="F7" s="266" t="s">
        <v>260</v>
      </c>
      <c r="G7" s="266" t="s">
        <v>261</v>
      </c>
      <c r="H7" s="266" t="s">
        <v>262</v>
      </c>
    </row>
    <row r="8" spans="1:8" s="181" customFormat="1" ht="15">
      <c r="A8" s="185" t="s">
        <v>263</v>
      </c>
      <c r="B8" s="185" t="s">
        <v>264</v>
      </c>
      <c r="C8" s="185" t="s">
        <v>265</v>
      </c>
      <c r="D8" s="185" t="s">
        <v>266</v>
      </c>
      <c r="E8" s="185" t="s">
        <v>267</v>
      </c>
      <c r="F8" s="185" t="s">
        <v>268</v>
      </c>
      <c r="G8" s="185" t="s">
        <v>269</v>
      </c>
      <c r="H8" s="185" t="s">
        <v>270</v>
      </c>
    </row>
    <row r="9" spans="1:8" ht="12.75">
      <c r="A9" s="8">
        <v>1</v>
      </c>
      <c r="B9" s="19" t="s">
        <v>476</v>
      </c>
      <c r="C9" s="186">
        <v>599</v>
      </c>
      <c r="D9" s="186">
        <v>309</v>
      </c>
      <c r="E9" s="186">
        <v>9</v>
      </c>
      <c r="F9" s="186">
        <f>SUM(C9:E9)</f>
        <v>917</v>
      </c>
      <c r="G9" s="186">
        <f>F9</f>
        <v>917</v>
      </c>
      <c r="H9" s="9">
        <f>F9-G9</f>
        <v>0</v>
      </c>
    </row>
    <row r="10" spans="1:8" ht="12.75">
      <c r="A10" s="8">
        <v>2</v>
      </c>
      <c r="B10" s="19" t="s">
        <v>477</v>
      </c>
      <c r="C10" s="186">
        <v>587</v>
      </c>
      <c r="D10" s="186">
        <v>282</v>
      </c>
      <c r="E10" s="186">
        <v>6</v>
      </c>
      <c r="F10" s="186">
        <f aca="true" t="shared" si="0" ref="F10:F16">SUM(C10:E10)</f>
        <v>875</v>
      </c>
      <c r="G10" s="186">
        <f aca="true" t="shared" si="1" ref="G10:G16">F10</f>
        <v>875</v>
      </c>
      <c r="H10" s="9">
        <f aca="true" t="shared" si="2" ref="H10:H16">F10-G10</f>
        <v>0</v>
      </c>
    </row>
    <row r="11" spans="1:8" ht="12.75">
      <c r="A11" s="8">
        <v>3</v>
      </c>
      <c r="B11" s="19" t="s">
        <v>478</v>
      </c>
      <c r="C11" s="186">
        <v>456</v>
      </c>
      <c r="D11" s="186">
        <v>211</v>
      </c>
      <c r="E11" s="186">
        <v>1</v>
      </c>
      <c r="F11" s="186">
        <f t="shared" si="0"/>
        <v>668</v>
      </c>
      <c r="G11" s="186">
        <f t="shared" si="1"/>
        <v>668</v>
      </c>
      <c r="H11" s="9">
        <f t="shared" si="2"/>
        <v>0</v>
      </c>
    </row>
    <row r="12" spans="1:8" ht="12.75">
      <c r="A12" s="8">
        <v>4</v>
      </c>
      <c r="B12" s="19" t="s">
        <v>479</v>
      </c>
      <c r="C12" s="186">
        <v>528</v>
      </c>
      <c r="D12" s="186">
        <v>275</v>
      </c>
      <c r="E12" s="186">
        <v>7</v>
      </c>
      <c r="F12" s="186">
        <f t="shared" si="0"/>
        <v>810</v>
      </c>
      <c r="G12" s="186">
        <f t="shared" si="1"/>
        <v>810</v>
      </c>
      <c r="H12" s="9">
        <f t="shared" si="2"/>
        <v>0</v>
      </c>
    </row>
    <row r="13" spans="1:8" ht="12.75">
      <c r="A13" s="8">
        <v>5</v>
      </c>
      <c r="B13" s="19" t="s">
        <v>480</v>
      </c>
      <c r="C13" s="186">
        <v>617</v>
      </c>
      <c r="D13" s="186">
        <v>300</v>
      </c>
      <c r="E13" s="186">
        <v>8</v>
      </c>
      <c r="F13" s="186">
        <f t="shared" si="0"/>
        <v>925</v>
      </c>
      <c r="G13" s="186">
        <f t="shared" si="1"/>
        <v>925</v>
      </c>
      <c r="H13" s="9">
        <f t="shared" si="2"/>
        <v>0</v>
      </c>
    </row>
    <row r="14" spans="1:8" ht="12.75">
      <c r="A14" s="8">
        <v>6</v>
      </c>
      <c r="B14" s="19" t="s">
        <v>481</v>
      </c>
      <c r="C14" s="186">
        <v>327</v>
      </c>
      <c r="D14" s="186">
        <v>147</v>
      </c>
      <c r="E14" s="186">
        <v>1</v>
      </c>
      <c r="F14" s="186">
        <f t="shared" si="0"/>
        <v>475</v>
      </c>
      <c r="G14" s="186">
        <f t="shared" si="1"/>
        <v>475</v>
      </c>
      <c r="H14" s="9">
        <f t="shared" si="2"/>
        <v>0</v>
      </c>
    </row>
    <row r="15" spans="1:8" ht="12.75">
      <c r="A15" s="8">
        <v>7</v>
      </c>
      <c r="B15" s="19" t="s">
        <v>482</v>
      </c>
      <c r="C15" s="186">
        <v>476</v>
      </c>
      <c r="D15" s="186">
        <v>241</v>
      </c>
      <c r="E15" s="186">
        <v>2</v>
      </c>
      <c r="F15" s="186">
        <f t="shared" si="0"/>
        <v>719</v>
      </c>
      <c r="G15" s="186">
        <f t="shared" si="1"/>
        <v>719</v>
      </c>
      <c r="H15" s="9">
        <f t="shared" si="2"/>
        <v>0</v>
      </c>
    </row>
    <row r="16" spans="1:8" ht="12.75">
      <c r="A16" s="8">
        <v>8</v>
      </c>
      <c r="B16" s="19" t="s">
        <v>483</v>
      </c>
      <c r="C16" s="186">
        <v>812</v>
      </c>
      <c r="D16" s="186">
        <v>322</v>
      </c>
      <c r="E16" s="186">
        <v>6</v>
      </c>
      <c r="F16" s="186">
        <f t="shared" si="0"/>
        <v>1140</v>
      </c>
      <c r="G16" s="186">
        <f t="shared" si="1"/>
        <v>1140</v>
      </c>
      <c r="H16" s="9">
        <f t="shared" si="2"/>
        <v>0</v>
      </c>
    </row>
    <row r="17" spans="1:8" s="15" customFormat="1" ht="12.75">
      <c r="A17" s="3"/>
      <c r="B17" s="27" t="s">
        <v>484</v>
      </c>
      <c r="C17" s="321">
        <f aca="true" t="shared" si="3" ref="C17:H17">SUM(C9:C16)</f>
        <v>4402</v>
      </c>
      <c r="D17" s="321">
        <f t="shared" si="3"/>
        <v>2087</v>
      </c>
      <c r="E17" s="321">
        <f t="shared" si="3"/>
        <v>40</v>
      </c>
      <c r="F17" s="321">
        <f t="shared" si="3"/>
        <v>6529</v>
      </c>
      <c r="G17" s="321">
        <f t="shared" si="3"/>
        <v>6529</v>
      </c>
      <c r="H17" s="321">
        <f t="shared" si="3"/>
        <v>0</v>
      </c>
    </row>
    <row r="19" ht="12.75">
      <c r="A19" s="187" t="s">
        <v>271</v>
      </c>
    </row>
    <row r="20" spans="2:6" ht="12.75">
      <c r="B20" s="188"/>
      <c r="C20" s="188"/>
      <c r="D20" s="188"/>
      <c r="E20" s="188"/>
      <c r="F20" s="188"/>
    </row>
    <row r="21" spans="2:6" ht="12.75">
      <c r="B21" s="188"/>
      <c r="C21" s="188"/>
      <c r="D21" s="188"/>
      <c r="E21" s="188"/>
      <c r="F21" s="188"/>
    </row>
    <row r="22" spans="1:11" ht="15" customHeight="1">
      <c r="A22" s="188" t="s">
        <v>11</v>
      </c>
      <c r="B22" s="188"/>
      <c r="C22" s="188"/>
      <c r="D22" s="188"/>
      <c r="E22" s="188"/>
      <c r="F22" s="743"/>
      <c r="G22" s="743"/>
      <c r="H22" s="189"/>
      <c r="I22" s="189"/>
      <c r="J22" s="189"/>
      <c r="K22" s="189"/>
    </row>
    <row r="23" spans="1:11" ht="15" customHeight="1">
      <c r="A23" s="188"/>
      <c r="B23" s="188"/>
      <c r="C23" s="188"/>
      <c r="D23" s="188"/>
      <c r="E23" s="188"/>
      <c r="F23" s="743" t="s">
        <v>819</v>
      </c>
      <c r="G23" s="743"/>
      <c r="H23" s="201"/>
      <c r="I23" s="189"/>
      <c r="J23" s="189"/>
      <c r="K23" s="189"/>
    </row>
    <row r="24" spans="1:11" ht="15" customHeight="1">
      <c r="A24" s="188"/>
      <c r="B24" s="188"/>
      <c r="C24" s="188"/>
      <c r="D24" s="188"/>
      <c r="E24" s="188"/>
      <c r="F24" s="743" t="s">
        <v>487</v>
      </c>
      <c r="G24" s="743"/>
      <c r="H24" s="201"/>
      <c r="I24" s="189"/>
      <c r="J24" s="189"/>
      <c r="K24" s="189"/>
    </row>
    <row r="25" spans="3:11" ht="12.75">
      <c r="C25" s="188"/>
      <c r="D25" s="188"/>
      <c r="E25" s="188"/>
      <c r="F25" s="738" t="s">
        <v>80</v>
      </c>
      <c r="G25" s="738"/>
      <c r="H25" s="190"/>
      <c r="I25" s="190"/>
      <c r="J25" s="188"/>
      <c r="K25" s="188"/>
    </row>
    <row r="26" spans="1:15" ht="12.75">
      <c r="A26" s="188"/>
      <c r="B26" s="188"/>
      <c r="C26" s="188"/>
      <c r="D26" s="188"/>
      <c r="E26" s="188"/>
      <c r="F26" s="188"/>
      <c r="G26" s="188"/>
      <c r="H26" s="188"/>
      <c r="I26" s="188"/>
      <c r="J26" s="188"/>
      <c r="K26" s="188"/>
      <c r="L26" s="188"/>
      <c r="M26" s="188"/>
      <c r="N26" s="188"/>
      <c r="O26" s="188"/>
    </row>
  </sheetData>
  <sheetProtection/>
  <mergeCells count="8">
    <mergeCell ref="F25:G25"/>
    <mergeCell ref="A1:G1"/>
    <mergeCell ref="A2:H2"/>
    <mergeCell ref="A4:H4"/>
    <mergeCell ref="G6:H6"/>
    <mergeCell ref="F22:G22"/>
    <mergeCell ref="F23:G23"/>
    <mergeCell ref="F24:G24"/>
  </mergeCells>
  <printOptions horizontalCentered="1"/>
  <pageMargins left="0.7086614173228347" right="0.21" top="1.09" bottom="0" header="0.48" footer="0.31496062992125984"/>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2:N31"/>
  <sheetViews>
    <sheetView zoomScalePageLayoutView="0" workbookViewId="0" topLeftCell="A1">
      <selection activeCell="L12" sqref="L12"/>
    </sheetView>
  </sheetViews>
  <sheetFormatPr defaultColWidth="9.140625" defaultRowHeight="12.75"/>
  <cols>
    <col min="1" max="1" width="6.00390625" style="0" customWidth="1"/>
    <col min="2" max="2" width="12.28125" style="0" customWidth="1"/>
    <col min="3" max="3" width="11.7109375" style="0" customWidth="1"/>
    <col min="4" max="4" width="11.8515625" style="0" customWidth="1"/>
    <col min="5" max="8" width="15.00390625" style="0" customWidth="1"/>
    <col min="9" max="9" width="10.140625" style="0" customWidth="1"/>
    <col min="10" max="10" width="11.28125" style="0" customWidth="1"/>
    <col min="11" max="11" width="10.57421875" style="0" customWidth="1"/>
    <col min="12" max="12" width="11.28125" style="0" customWidth="1"/>
  </cols>
  <sheetData>
    <row r="2" spans="5:9" ht="12.75">
      <c r="E2" s="697"/>
      <c r="F2" s="697"/>
      <c r="G2" s="697"/>
      <c r="I2" s="517" t="s">
        <v>788</v>
      </c>
    </row>
    <row r="3" spans="1:10" ht="15">
      <c r="A3" s="751" t="s">
        <v>0</v>
      </c>
      <c r="B3" s="751"/>
      <c r="C3" s="751"/>
      <c r="D3" s="751"/>
      <c r="E3" s="751"/>
      <c r="F3" s="751"/>
      <c r="G3" s="751"/>
      <c r="H3" s="751"/>
      <c r="I3" s="751"/>
      <c r="J3" s="751"/>
    </row>
    <row r="4" spans="1:10" ht="20.25">
      <c r="A4" s="645" t="s">
        <v>854</v>
      </c>
      <c r="B4" s="645"/>
      <c r="C4" s="645"/>
      <c r="D4" s="645"/>
      <c r="E4" s="645"/>
      <c r="F4" s="645"/>
      <c r="G4" s="645"/>
      <c r="H4" s="645"/>
      <c r="I4" s="645"/>
      <c r="J4" s="645"/>
    </row>
    <row r="6" spans="1:10" s="16" customFormat="1" ht="15.75">
      <c r="A6" s="752" t="s">
        <v>1010</v>
      </c>
      <c r="B6" s="752"/>
      <c r="C6" s="752"/>
      <c r="D6" s="752"/>
      <c r="E6" s="752"/>
      <c r="F6" s="752"/>
      <c r="G6" s="752"/>
      <c r="H6" s="752"/>
      <c r="I6" s="752"/>
      <c r="J6" s="752"/>
    </row>
    <row r="7" spans="1:8" s="16" customFormat="1" ht="13.5" customHeight="1">
      <c r="A7" s="1"/>
      <c r="B7" s="1"/>
      <c r="C7" s="1"/>
      <c r="D7" s="1"/>
      <c r="E7" s="1"/>
      <c r="F7" s="1"/>
      <c r="G7" s="1"/>
      <c r="H7" s="1"/>
    </row>
    <row r="8" s="16" customFormat="1" ht="0.75" customHeight="1"/>
    <row r="9" spans="1:13" s="16" customFormat="1" ht="12.75">
      <c r="A9" s="699" t="s">
        <v>475</v>
      </c>
      <c r="B9" s="699"/>
      <c r="C9" s="29"/>
      <c r="G9" s="828"/>
      <c r="H9" s="828"/>
      <c r="M9" s="21"/>
    </row>
    <row r="10" spans="1:13" s="16" customFormat="1" ht="12.75">
      <c r="A10" s="29"/>
      <c r="B10" s="29"/>
      <c r="C10" s="29"/>
      <c r="G10" s="518"/>
      <c r="H10" s="828" t="s">
        <v>934</v>
      </c>
      <c r="I10" s="828"/>
      <c r="J10" s="828"/>
      <c r="M10" s="21"/>
    </row>
    <row r="11" spans="1:14" s="16" customFormat="1" ht="18" customHeight="1">
      <c r="A11" s="714" t="s">
        <v>2</v>
      </c>
      <c r="B11" s="1018" t="s">
        <v>3</v>
      </c>
      <c r="C11" s="708" t="s">
        <v>782</v>
      </c>
      <c r="D11" s="710"/>
      <c r="E11" s="708" t="s">
        <v>125</v>
      </c>
      <c r="F11" s="710"/>
      <c r="G11" s="708" t="s">
        <v>783</v>
      </c>
      <c r="H11" s="710"/>
      <c r="I11" s="708" t="s">
        <v>126</v>
      </c>
      <c r="J11" s="710"/>
      <c r="K11" s="708" t="s">
        <v>127</v>
      </c>
      <c r="L11" s="710"/>
      <c r="M11" s="21"/>
      <c r="N11" s="21"/>
    </row>
    <row r="12" spans="1:13" s="16" customFormat="1" ht="37.5" customHeight="1">
      <c r="A12" s="716"/>
      <c r="B12" s="1019"/>
      <c r="C12" s="257" t="s">
        <v>784</v>
      </c>
      <c r="D12" s="257" t="s">
        <v>785</v>
      </c>
      <c r="E12" s="257" t="s">
        <v>786</v>
      </c>
      <c r="F12" s="257" t="s">
        <v>787</v>
      </c>
      <c r="G12" s="257" t="s">
        <v>786</v>
      </c>
      <c r="H12" s="257" t="s">
        <v>787</v>
      </c>
      <c r="I12" s="257" t="s">
        <v>784</v>
      </c>
      <c r="J12" s="257" t="s">
        <v>785</v>
      </c>
      <c r="K12" s="257" t="s">
        <v>784</v>
      </c>
      <c r="L12" s="257" t="s">
        <v>785</v>
      </c>
      <c r="M12" s="21"/>
    </row>
    <row r="13" spans="1:12" s="16" customFormat="1" ht="12.75">
      <c r="A13" s="5">
        <v>1</v>
      </c>
      <c r="B13" s="299">
        <v>2</v>
      </c>
      <c r="C13" s="5">
        <v>3</v>
      </c>
      <c r="D13" s="5">
        <v>4</v>
      </c>
      <c r="E13" s="5">
        <v>5</v>
      </c>
      <c r="F13" s="5">
        <v>6</v>
      </c>
      <c r="G13" s="5">
        <v>7</v>
      </c>
      <c r="H13" s="5">
        <v>8</v>
      </c>
      <c r="I13" s="5">
        <v>9</v>
      </c>
      <c r="J13" s="5">
        <v>10</v>
      </c>
      <c r="K13" s="5">
        <v>11</v>
      </c>
      <c r="L13" s="5">
        <v>12</v>
      </c>
    </row>
    <row r="14" spans="1:12" s="16" customFormat="1" ht="15.75" customHeight="1">
      <c r="A14" s="271">
        <v>1</v>
      </c>
      <c r="B14" s="276" t="s">
        <v>476</v>
      </c>
      <c r="C14" s="276"/>
      <c r="D14" s="276"/>
      <c r="E14" s="276"/>
      <c r="F14" s="276"/>
      <c r="G14" s="276"/>
      <c r="H14" s="276"/>
      <c r="I14" s="276"/>
      <c r="J14" s="276"/>
      <c r="K14" s="276"/>
      <c r="L14" s="276"/>
    </row>
    <row r="15" spans="1:12" s="16" customFormat="1" ht="15.75" customHeight="1">
      <c r="A15" s="271">
        <v>2</v>
      </c>
      <c r="B15" s="276" t="s">
        <v>477</v>
      </c>
      <c r="C15" s="276"/>
      <c r="D15" s="276"/>
      <c r="E15" s="276"/>
      <c r="F15" s="276"/>
      <c r="G15" s="276"/>
      <c r="H15" s="276"/>
      <c r="I15" s="276"/>
      <c r="J15" s="276"/>
      <c r="K15" s="276"/>
      <c r="L15" s="276"/>
    </row>
    <row r="16" spans="1:12" s="16" customFormat="1" ht="15.75" customHeight="1">
      <c r="A16" s="271">
        <v>3</v>
      </c>
      <c r="B16" s="276" t="s">
        <v>478</v>
      </c>
      <c r="C16" s="276"/>
      <c r="D16" s="276"/>
      <c r="E16" s="276"/>
      <c r="F16" s="276"/>
      <c r="G16" s="276"/>
      <c r="H16" s="276"/>
      <c r="I16" s="276"/>
      <c r="J16" s="276"/>
      <c r="K16" s="276"/>
      <c r="L16" s="276"/>
    </row>
    <row r="17" spans="1:12" s="16" customFormat="1" ht="15.75" customHeight="1">
      <c r="A17" s="271">
        <v>4</v>
      </c>
      <c r="B17" s="276" t="s">
        <v>479</v>
      </c>
      <c r="C17" s="276"/>
      <c r="D17" s="276"/>
      <c r="E17" s="276"/>
      <c r="F17" s="276"/>
      <c r="G17" s="276"/>
      <c r="H17" s="276"/>
      <c r="I17" s="276"/>
      <c r="J17" s="276"/>
      <c r="K17" s="276"/>
      <c r="L17" s="276"/>
    </row>
    <row r="18" spans="1:12" s="16" customFormat="1" ht="15.75" customHeight="1">
      <c r="A18" s="271">
        <v>5</v>
      </c>
      <c r="B18" s="276" t="s">
        <v>480</v>
      </c>
      <c r="C18" s="276"/>
      <c r="D18" s="276"/>
      <c r="E18" s="276" t="s">
        <v>10</v>
      </c>
      <c r="F18" s="276"/>
      <c r="G18" s="276"/>
      <c r="H18" s="276"/>
      <c r="I18" s="276"/>
      <c r="J18" s="276"/>
      <c r="K18" s="276"/>
      <c r="L18" s="276"/>
    </row>
    <row r="19" spans="1:12" s="16" customFormat="1" ht="15.75" customHeight="1">
      <c r="A19" s="271">
        <v>6</v>
      </c>
      <c r="B19" s="276" t="s">
        <v>481</v>
      </c>
      <c r="C19" s="276"/>
      <c r="D19" s="276"/>
      <c r="E19" s="276"/>
      <c r="F19" s="276"/>
      <c r="G19" s="276"/>
      <c r="H19" s="276"/>
      <c r="I19" s="276"/>
      <c r="J19" s="276"/>
      <c r="K19" s="276"/>
      <c r="L19" s="276"/>
    </row>
    <row r="20" spans="1:12" s="16" customFormat="1" ht="15.75" customHeight="1">
      <c r="A20" s="271">
        <v>7</v>
      </c>
      <c r="B20" s="276" t="s">
        <v>482</v>
      </c>
      <c r="C20" s="276"/>
      <c r="D20" s="276"/>
      <c r="E20" s="276"/>
      <c r="F20" s="276"/>
      <c r="G20" s="276"/>
      <c r="H20" s="276"/>
      <c r="I20" s="276"/>
      <c r="J20" s="276"/>
      <c r="K20" s="276"/>
      <c r="L20" s="276"/>
    </row>
    <row r="21" spans="1:12" s="16" customFormat="1" ht="15.75" customHeight="1">
      <c r="A21" s="271">
        <v>8</v>
      </c>
      <c r="B21" s="276" t="s">
        <v>483</v>
      </c>
      <c r="C21" s="276"/>
      <c r="D21" s="276"/>
      <c r="E21" s="276"/>
      <c r="F21" s="276"/>
      <c r="G21" s="276"/>
      <c r="H21" s="276"/>
      <c r="I21" s="276"/>
      <c r="J21" s="276"/>
      <c r="K21" s="276"/>
      <c r="L21" s="276"/>
    </row>
    <row r="22" spans="1:12" s="16" customFormat="1" ht="15">
      <c r="A22" s="1083" t="s">
        <v>15</v>
      </c>
      <c r="B22" s="1084"/>
      <c r="C22" s="276"/>
      <c r="D22" s="276"/>
      <c r="E22" s="276"/>
      <c r="F22" s="276"/>
      <c r="G22" s="276"/>
      <c r="H22" s="276"/>
      <c r="I22" s="276"/>
      <c r="J22" s="276"/>
      <c r="K22" s="276"/>
      <c r="L22" s="276"/>
    </row>
    <row r="23" spans="1:8" s="16" customFormat="1" ht="12.75">
      <c r="A23" s="12"/>
      <c r="B23" s="28"/>
      <c r="C23" s="28"/>
      <c r="D23" s="21"/>
      <c r="E23" s="21"/>
      <c r="F23" s="21"/>
      <c r="G23" s="21"/>
      <c r="H23" s="21"/>
    </row>
    <row r="24" spans="1:8" s="16" customFormat="1" ht="12.75">
      <c r="A24" s="12"/>
      <c r="B24" s="28"/>
      <c r="C24" s="28"/>
      <c r="D24" s="21"/>
      <c r="E24" s="21"/>
      <c r="F24" s="21"/>
      <c r="G24" s="21"/>
      <c r="H24" s="21"/>
    </row>
    <row r="25" spans="1:8" s="16" customFormat="1" ht="12.75">
      <c r="A25" s="12"/>
      <c r="B25" s="28"/>
      <c r="C25" s="28" t="s">
        <v>10</v>
      </c>
      <c r="D25" s="21"/>
      <c r="E25" s="21"/>
      <c r="F25" s="21"/>
      <c r="G25" s="21"/>
      <c r="H25" s="21"/>
    </row>
    <row r="26" spans="1:8" s="16" customFormat="1" ht="12.75">
      <c r="A26" s="12"/>
      <c r="B26" s="28"/>
      <c r="C26" s="28"/>
      <c r="D26" s="21"/>
      <c r="E26" s="21"/>
      <c r="F26" s="21"/>
      <c r="G26" s="21"/>
      <c r="H26" s="21"/>
    </row>
    <row r="27" spans="1:13" s="16" customFormat="1" ht="12.75">
      <c r="A27" s="12"/>
      <c r="B27" s="28"/>
      <c r="C27" s="28"/>
      <c r="D27" s="21"/>
      <c r="E27" s="21"/>
      <c r="F27" s="21"/>
      <c r="G27" s="1060"/>
      <c r="H27" s="1060"/>
      <c r="I27" s="1060"/>
      <c r="J27" s="1060"/>
      <c r="K27" s="1060"/>
      <c r="L27" s="164"/>
      <c r="M27" s="164"/>
    </row>
    <row r="28" spans="1:13" s="16" customFormat="1" ht="12.75">
      <c r="A28" s="15" t="s">
        <v>11</v>
      </c>
      <c r="B28" s="28"/>
      <c r="C28" s="28"/>
      <c r="D28" s="21"/>
      <c r="E28" s="21"/>
      <c r="F28" s="21"/>
      <c r="G28" s="1060" t="s">
        <v>819</v>
      </c>
      <c r="H28" s="1060"/>
      <c r="I28" s="1060"/>
      <c r="J28" s="1060"/>
      <c r="K28" s="1060"/>
      <c r="L28" s="164"/>
      <c r="M28" s="164"/>
    </row>
    <row r="29" spans="2:13" s="16" customFormat="1" ht="15.75" customHeight="1">
      <c r="B29" s="15"/>
      <c r="C29" s="15"/>
      <c r="D29" s="15"/>
      <c r="E29" s="15"/>
      <c r="F29" s="15"/>
      <c r="G29" s="1060" t="s">
        <v>488</v>
      </c>
      <c r="H29" s="1060"/>
      <c r="I29" s="1060"/>
      <c r="J29" s="1060"/>
      <c r="K29" s="1060"/>
      <c r="L29" s="164"/>
      <c r="M29" s="164"/>
    </row>
    <row r="30" spans="1:13" s="16" customFormat="1" ht="12.75" customHeight="1">
      <c r="A30" s="86"/>
      <c r="B30" s="86"/>
      <c r="C30" s="86"/>
      <c r="D30" s="86"/>
      <c r="E30" s="86"/>
      <c r="F30" s="86"/>
      <c r="G30" s="164"/>
      <c r="H30" s="1058" t="s">
        <v>80</v>
      </c>
      <c r="I30" s="1058"/>
      <c r="J30" s="1058"/>
      <c r="K30" s="1058"/>
      <c r="L30" s="1058"/>
      <c r="M30" s="1058"/>
    </row>
    <row r="31" spans="1:12" s="16" customFormat="1" ht="12.75" customHeight="1">
      <c r="A31" s="15"/>
      <c r="B31" s="15"/>
      <c r="C31" s="15"/>
      <c r="E31" s="15"/>
      <c r="G31" s="1060"/>
      <c r="H31" s="1060"/>
      <c r="I31" s="1060"/>
      <c r="J31" s="1060"/>
      <c r="K31" s="164"/>
      <c r="L31" s="164"/>
    </row>
    <row r="32" s="16" customFormat="1" ht="12.75"/>
    <row r="33" s="16" customFormat="1" ht="12.75"/>
  </sheetData>
  <sheetProtection/>
  <mergeCells count="20">
    <mergeCell ref="G27:K27"/>
    <mergeCell ref="G28:K28"/>
    <mergeCell ref="G29:K29"/>
    <mergeCell ref="H30:M30"/>
    <mergeCell ref="G31:J31"/>
    <mergeCell ref="G11:H11"/>
    <mergeCell ref="I11:J11"/>
    <mergeCell ref="K11:L11"/>
    <mergeCell ref="E2:G2"/>
    <mergeCell ref="A3:J3"/>
    <mergeCell ref="A4:J4"/>
    <mergeCell ref="A6:J6"/>
    <mergeCell ref="A9:B9"/>
    <mergeCell ref="G9:H9"/>
    <mergeCell ref="A22:B22"/>
    <mergeCell ref="H10:J10"/>
    <mergeCell ref="A11:A12"/>
    <mergeCell ref="B11:B12"/>
    <mergeCell ref="C11:D11"/>
    <mergeCell ref="E11:F11"/>
  </mergeCells>
  <printOptions/>
  <pageMargins left="0.59" right="0.25" top="0.75" bottom="0.75" header="0.3" footer="0.3"/>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S32"/>
  <sheetViews>
    <sheetView view="pageBreakPreview" zoomScaleSheetLayoutView="100" zoomScalePageLayoutView="0" workbookViewId="0" topLeftCell="A1">
      <selection activeCell="N12" sqref="N12:N19"/>
    </sheetView>
  </sheetViews>
  <sheetFormatPr defaultColWidth="9.140625" defaultRowHeight="12.75"/>
  <cols>
    <col min="1" max="1" width="8.00390625" style="0" customWidth="1"/>
    <col min="2" max="2" width="11.7109375" style="0" customWidth="1"/>
    <col min="3" max="14" width="10.8515625" style="0" customWidth="1"/>
  </cols>
  <sheetData>
    <row r="1" spans="4:14" ht="12.75" customHeight="1">
      <c r="D1" s="697"/>
      <c r="E1" s="697"/>
      <c r="F1" s="697"/>
      <c r="G1" s="697"/>
      <c r="H1" s="697"/>
      <c r="I1" s="697"/>
      <c r="L1" s="744" t="s">
        <v>84</v>
      </c>
      <c r="M1" s="744"/>
      <c r="N1" s="744"/>
    </row>
    <row r="2" spans="1:13" ht="15.75">
      <c r="A2" s="644" t="s">
        <v>0</v>
      </c>
      <c r="B2" s="644"/>
      <c r="C2" s="644"/>
      <c r="D2" s="644"/>
      <c r="E2" s="644"/>
      <c r="F2" s="644"/>
      <c r="G2" s="644"/>
      <c r="H2" s="644"/>
      <c r="I2" s="644"/>
      <c r="J2" s="644"/>
      <c r="K2" s="644"/>
      <c r="L2" s="644"/>
      <c r="M2" s="644"/>
    </row>
    <row r="3" spans="1:13" ht="20.25">
      <c r="A3" s="645" t="s">
        <v>854</v>
      </c>
      <c r="B3" s="645"/>
      <c r="C3" s="645"/>
      <c r="D3" s="645"/>
      <c r="E3" s="645"/>
      <c r="F3" s="645"/>
      <c r="G3" s="645"/>
      <c r="H3" s="645"/>
      <c r="I3" s="645"/>
      <c r="J3" s="645"/>
      <c r="K3" s="645"/>
      <c r="L3" s="645"/>
      <c r="M3" s="645"/>
    </row>
    <row r="4" ht="11.25" customHeight="1"/>
    <row r="5" spans="1:13" ht="15.75">
      <c r="A5" s="644" t="s">
        <v>899</v>
      </c>
      <c r="B5" s="644"/>
      <c r="C5" s="644"/>
      <c r="D5" s="644"/>
      <c r="E5" s="644"/>
      <c r="F5" s="644"/>
      <c r="G5" s="644"/>
      <c r="H5" s="644"/>
      <c r="I5" s="644"/>
      <c r="J5" s="644"/>
      <c r="K5" s="644"/>
      <c r="L5" s="644"/>
      <c r="M5" s="644"/>
    </row>
    <row r="7" spans="1:14" ht="12.75">
      <c r="A7" s="699" t="s">
        <v>475</v>
      </c>
      <c r="B7" s="699"/>
      <c r="K7" s="113"/>
      <c r="L7" s="745" t="s">
        <v>856</v>
      </c>
      <c r="M7" s="745"/>
      <c r="N7" s="745"/>
    </row>
    <row r="8" spans="1:14" ht="12.75">
      <c r="A8" s="29"/>
      <c r="B8" s="29"/>
      <c r="K8" s="103"/>
      <c r="L8" s="124"/>
      <c r="M8" s="128"/>
      <c r="N8" s="124"/>
    </row>
    <row r="9" spans="1:14" ht="15.75" customHeight="1">
      <c r="A9" s="714" t="s">
        <v>2</v>
      </c>
      <c r="B9" s="714" t="s">
        <v>3</v>
      </c>
      <c r="C9" s="678" t="s">
        <v>4</v>
      </c>
      <c r="D9" s="678"/>
      <c r="E9" s="678"/>
      <c r="F9" s="708"/>
      <c r="G9" s="747"/>
      <c r="H9" s="709" t="s">
        <v>98</v>
      </c>
      <c r="I9" s="709"/>
      <c r="J9" s="709"/>
      <c r="K9" s="709"/>
      <c r="L9" s="709"/>
      <c r="M9" s="714" t="s">
        <v>132</v>
      </c>
      <c r="N9" s="653" t="s">
        <v>133</v>
      </c>
    </row>
    <row r="10" spans="1:19" ht="38.25">
      <c r="A10" s="716"/>
      <c r="B10" s="716"/>
      <c r="C10" s="257" t="s">
        <v>508</v>
      </c>
      <c r="D10" s="257" t="s">
        <v>6</v>
      </c>
      <c r="E10" s="257" t="s">
        <v>356</v>
      </c>
      <c r="F10" s="253" t="s">
        <v>96</v>
      </c>
      <c r="G10" s="267" t="s">
        <v>357</v>
      </c>
      <c r="H10" s="257" t="s">
        <v>5</v>
      </c>
      <c r="I10" s="257" t="s">
        <v>6</v>
      </c>
      <c r="J10" s="257" t="s">
        <v>356</v>
      </c>
      <c r="K10" s="253" t="s">
        <v>96</v>
      </c>
      <c r="L10" s="253" t="s">
        <v>358</v>
      </c>
      <c r="M10" s="716"/>
      <c r="N10" s="653"/>
      <c r="R10" s="13"/>
      <c r="S10" s="13"/>
    </row>
    <row r="11" spans="1:14" s="15" customFormat="1" ht="12.75">
      <c r="A11" s="5">
        <v>1</v>
      </c>
      <c r="B11" s="5">
        <v>2</v>
      </c>
      <c r="C11" s="5">
        <v>3</v>
      </c>
      <c r="D11" s="5">
        <v>4</v>
      </c>
      <c r="E11" s="5">
        <v>5</v>
      </c>
      <c r="F11" s="5">
        <v>6</v>
      </c>
      <c r="G11" s="5">
        <v>7</v>
      </c>
      <c r="H11" s="5">
        <v>8</v>
      </c>
      <c r="I11" s="5">
        <v>9</v>
      </c>
      <c r="J11" s="5">
        <v>10</v>
      </c>
      <c r="K11" s="5">
        <v>11</v>
      </c>
      <c r="L11" s="5">
        <v>12</v>
      </c>
      <c r="M11" s="5">
        <v>13</v>
      </c>
      <c r="N11" s="5">
        <v>14</v>
      </c>
    </row>
    <row r="12" spans="1:14" ht="12.75">
      <c r="A12" s="8">
        <v>1</v>
      </c>
      <c r="B12" s="19" t="s">
        <v>476</v>
      </c>
      <c r="C12" s="9">
        <v>555</v>
      </c>
      <c r="D12" s="9">
        <v>22</v>
      </c>
      <c r="E12" s="9">
        <v>0</v>
      </c>
      <c r="F12" s="72">
        <v>22</v>
      </c>
      <c r="G12" s="10">
        <f>SUM(C12:F12)</f>
        <v>599</v>
      </c>
      <c r="H12" s="9">
        <f>C12</f>
        <v>555</v>
      </c>
      <c r="I12" s="9">
        <f>D12</f>
        <v>22</v>
      </c>
      <c r="J12" s="9">
        <f>E12</f>
        <v>0</v>
      </c>
      <c r="K12" s="9">
        <f>F12</f>
        <v>22</v>
      </c>
      <c r="L12" s="9">
        <f>SUM(H12:K12)</f>
        <v>599</v>
      </c>
      <c r="M12" s="9">
        <f>G12-L12</f>
        <v>0</v>
      </c>
      <c r="N12" s="748" t="s">
        <v>512</v>
      </c>
    </row>
    <row r="13" spans="1:14" ht="12.75">
      <c r="A13" s="8">
        <v>2</v>
      </c>
      <c r="B13" s="19" t="s">
        <v>477</v>
      </c>
      <c r="C13" s="9">
        <v>516</v>
      </c>
      <c r="D13" s="9">
        <v>2</v>
      </c>
      <c r="E13" s="9">
        <v>0</v>
      </c>
      <c r="F13" s="72">
        <v>69</v>
      </c>
      <c r="G13" s="10">
        <f aca="true" t="shared" si="0" ref="G13:G19">SUM(C13:F13)</f>
        <v>587</v>
      </c>
      <c r="H13" s="9">
        <f aca="true" t="shared" si="1" ref="H13:H19">C13</f>
        <v>516</v>
      </c>
      <c r="I13" s="9">
        <f aca="true" t="shared" si="2" ref="I13:I19">D13</f>
        <v>2</v>
      </c>
      <c r="J13" s="9">
        <f aca="true" t="shared" si="3" ref="J13:J19">E13</f>
        <v>0</v>
      </c>
      <c r="K13" s="9">
        <f aca="true" t="shared" si="4" ref="K13:K19">F13</f>
        <v>69</v>
      </c>
      <c r="L13" s="9">
        <f aca="true" t="shared" si="5" ref="L13:L19">SUM(H13:K13)</f>
        <v>587</v>
      </c>
      <c r="M13" s="9">
        <f aca="true" t="shared" si="6" ref="M13:M19">G13-L13</f>
        <v>0</v>
      </c>
      <c r="N13" s="749"/>
    </row>
    <row r="14" spans="1:14" ht="12.75">
      <c r="A14" s="8">
        <v>3</v>
      </c>
      <c r="B14" s="19" t="s">
        <v>478</v>
      </c>
      <c r="C14" s="9">
        <v>449</v>
      </c>
      <c r="D14" s="9">
        <v>5</v>
      </c>
      <c r="E14" s="9">
        <v>0</v>
      </c>
      <c r="F14" s="72">
        <v>2</v>
      </c>
      <c r="G14" s="10">
        <f t="shared" si="0"/>
        <v>456</v>
      </c>
      <c r="H14" s="9">
        <f t="shared" si="1"/>
        <v>449</v>
      </c>
      <c r="I14" s="9">
        <f t="shared" si="2"/>
        <v>5</v>
      </c>
      <c r="J14" s="9">
        <f t="shared" si="3"/>
        <v>0</v>
      </c>
      <c r="K14" s="9">
        <f t="shared" si="4"/>
        <v>2</v>
      </c>
      <c r="L14" s="9">
        <f t="shared" si="5"/>
        <v>456</v>
      </c>
      <c r="M14" s="9">
        <f t="shared" si="6"/>
        <v>0</v>
      </c>
      <c r="N14" s="749"/>
    </row>
    <row r="15" spans="1:14" ht="12.75">
      <c r="A15" s="8">
        <v>4</v>
      </c>
      <c r="B15" s="19" t="s">
        <v>479</v>
      </c>
      <c r="C15" s="9">
        <v>513</v>
      </c>
      <c r="D15" s="9">
        <v>1</v>
      </c>
      <c r="E15" s="9">
        <v>0</v>
      </c>
      <c r="F15" s="72">
        <v>14</v>
      </c>
      <c r="G15" s="10">
        <f t="shared" si="0"/>
        <v>528</v>
      </c>
      <c r="H15" s="9">
        <f t="shared" si="1"/>
        <v>513</v>
      </c>
      <c r="I15" s="9">
        <f t="shared" si="2"/>
        <v>1</v>
      </c>
      <c r="J15" s="9">
        <f t="shared" si="3"/>
        <v>0</v>
      </c>
      <c r="K15" s="9">
        <f t="shared" si="4"/>
        <v>14</v>
      </c>
      <c r="L15" s="9">
        <f t="shared" si="5"/>
        <v>528</v>
      </c>
      <c r="M15" s="9">
        <f t="shared" si="6"/>
        <v>0</v>
      </c>
      <c r="N15" s="749"/>
    </row>
    <row r="16" spans="1:14" ht="12.75">
      <c r="A16" s="8">
        <v>5</v>
      </c>
      <c r="B16" s="19" t="s">
        <v>480</v>
      </c>
      <c r="C16" s="9">
        <v>613</v>
      </c>
      <c r="D16" s="9">
        <v>0</v>
      </c>
      <c r="E16" s="9">
        <v>0</v>
      </c>
      <c r="F16" s="72">
        <v>4</v>
      </c>
      <c r="G16" s="10">
        <f t="shared" si="0"/>
        <v>617</v>
      </c>
      <c r="H16" s="9">
        <f t="shared" si="1"/>
        <v>613</v>
      </c>
      <c r="I16" s="9">
        <f t="shared" si="2"/>
        <v>0</v>
      </c>
      <c r="J16" s="9">
        <f t="shared" si="3"/>
        <v>0</v>
      </c>
      <c r="K16" s="9">
        <f t="shared" si="4"/>
        <v>4</v>
      </c>
      <c r="L16" s="9">
        <f t="shared" si="5"/>
        <v>617</v>
      </c>
      <c r="M16" s="9">
        <f t="shared" si="6"/>
        <v>0</v>
      </c>
      <c r="N16" s="749"/>
    </row>
    <row r="17" spans="1:14" ht="12.75">
      <c r="A17" s="8">
        <v>6</v>
      </c>
      <c r="B17" s="19" t="s">
        <v>481</v>
      </c>
      <c r="C17" s="9">
        <v>290</v>
      </c>
      <c r="D17" s="9">
        <v>3</v>
      </c>
      <c r="E17" s="9">
        <v>0</v>
      </c>
      <c r="F17" s="72">
        <v>34</v>
      </c>
      <c r="G17" s="10">
        <f t="shared" si="0"/>
        <v>327</v>
      </c>
      <c r="H17" s="9">
        <f t="shared" si="1"/>
        <v>290</v>
      </c>
      <c r="I17" s="9">
        <f t="shared" si="2"/>
        <v>3</v>
      </c>
      <c r="J17" s="9">
        <f t="shared" si="3"/>
        <v>0</v>
      </c>
      <c r="K17" s="9">
        <f t="shared" si="4"/>
        <v>34</v>
      </c>
      <c r="L17" s="9">
        <f t="shared" si="5"/>
        <v>327</v>
      </c>
      <c r="M17" s="9">
        <f t="shared" si="6"/>
        <v>0</v>
      </c>
      <c r="N17" s="749"/>
    </row>
    <row r="18" spans="1:14" ht="12.75">
      <c r="A18" s="8">
        <v>7</v>
      </c>
      <c r="B18" s="19" t="s">
        <v>482</v>
      </c>
      <c r="C18" s="9">
        <v>454</v>
      </c>
      <c r="D18" s="9">
        <v>1</v>
      </c>
      <c r="E18" s="9">
        <v>0</v>
      </c>
      <c r="F18" s="72">
        <v>21</v>
      </c>
      <c r="G18" s="10">
        <f t="shared" si="0"/>
        <v>476</v>
      </c>
      <c r="H18" s="9">
        <f t="shared" si="1"/>
        <v>454</v>
      </c>
      <c r="I18" s="9">
        <f t="shared" si="2"/>
        <v>1</v>
      </c>
      <c r="J18" s="9">
        <f t="shared" si="3"/>
        <v>0</v>
      </c>
      <c r="K18" s="9">
        <f t="shared" si="4"/>
        <v>21</v>
      </c>
      <c r="L18" s="9">
        <f t="shared" si="5"/>
        <v>476</v>
      </c>
      <c r="M18" s="9">
        <f t="shared" si="6"/>
        <v>0</v>
      </c>
      <c r="N18" s="749"/>
    </row>
    <row r="19" spans="1:14" ht="12.75">
      <c r="A19" s="8">
        <v>8</v>
      </c>
      <c r="B19" s="19" t="s">
        <v>483</v>
      </c>
      <c r="C19" s="9">
        <v>809</v>
      </c>
      <c r="D19" s="9">
        <v>0</v>
      </c>
      <c r="E19" s="9">
        <v>0</v>
      </c>
      <c r="F19" s="72">
        <v>3</v>
      </c>
      <c r="G19" s="10">
        <f t="shared" si="0"/>
        <v>812</v>
      </c>
      <c r="H19" s="9">
        <f t="shared" si="1"/>
        <v>809</v>
      </c>
      <c r="I19" s="9">
        <f t="shared" si="2"/>
        <v>0</v>
      </c>
      <c r="J19" s="9">
        <f t="shared" si="3"/>
        <v>0</v>
      </c>
      <c r="K19" s="9">
        <f t="shared" si="4"/>
        <v>3</v>
      </c>
      <c r="L19" s="9">
        <f t="shared" si="5"/>
        <v>812</v>
      </c>
      <c r="M19" s="9">
        <f t="shared" si="6"/>
        <v>0</v>
      </c>
      <c r="N19" s="750"/>
    </row>
    <row r="20" spans="1:14" s="15" customFormat="1" ht="12.75">
      <c r="A20" s="3"/>
      <c r="B20" s="27" t="s">
        <v>484</v>
      </c>
      <c r="C20" s="27">
        <f>SUM(C12:C19)</f>
        <v>4199</v>
      </c>
      <c r="D20" s="27">
        <f aca="true" t="shared" si="7" ref="D20:M20">SUM(D12:D19)</f>
        <v>34</v>
      </c>
      <c r="E20" s="27">
        <f>SUM(E12:E19)</f>
        <v>0</v>
      </c>
      <c r="F20" s="27">
        <f t="shared" si="7"/>
        <v>169</v>
      </c>
      <c r="G20" s="27">
        <f t="shared" si="7"/>
        <v>4402</v>
      </c>
      <c r="H20" s="27">
        <f t="shared" si="7"/>
        <v>4199</v>
      </c>
      <c r="I20" s="27">
        <f t="shared" si="7"/>
        <v>34</v>
      </c>
      <c r="J20" s="27">
        <f t="shared" si="7"/>
        <v>0</v>
      </c>
      <c r="K20" s="27">
        <f t="shared" si="7"/>
        <v>169</v>
      </c>
      <c r="L20" s="27">
        <f t="shared" si="7"/>
        <v>4402</v>
      </c>
      <c r="M20" s="27">
        <f t="shared" si="7"/>
        <v>0</v>
      </c>
      <c r="N20" s="27"/>
    </row>
    <row r="21" spans="1:13" ht="12.75">
      <c r="A21" s="12"/>
      <c r="B21" s="13"/>
      <c r="C21" s="13"/>
      <c r="D21" s="13"/>
      <c r="E21" s="13"/>
      <c r="F21" s="13"/>
      <c r="G21" s="13"/>
      <c r="H21" s="13"/>
      <c r="I21" s="13"/>
      <c r="J21" s="13"/>
      <c r="K21" s="13"/>
      <c r="L21" s="13"/>
      <c r="M21" s="13"/>
    </row>
    <row r="22" ht="12.75">
      <c r="A22" s="11" t="s">
        <v>7</v>
      </c>
    </row>
    <row r="23" spans="1:11" ht="12.75">
      <c r="A23" t="s">
        <v>8</v>
      </c>
      <c r="K23" s="16" t="s">
        <v>10</v>
      </c>
    </row>
    <row r="24" spans="1:12" ht="12.75">
      <c r="A24" t="s">
        <v>9</v>
      </c>
      <c r="J24" s="12" t="s">
        <v>10</v>
      </c>
      <c r="K24" s="12"/>
      <c r="L24" s="12" t="s">
        <v>10</v>
      </c>
    </row>
    <row r="25" spans="1:12" ht="12.75">
      <c r="A25" s="16" t="s">
        <v>433</v>
      </c>
      <c r="J25" s="12"/>
      <c r="K25" s="12"/>
      <c r="L25" s="12"/>
    </row>
    <row r="26" spans="3:13" ht="12.75">
      <c r="C26" s="16" t="s">
        <v>434</v>
      </c>
      <c r="E26" s="13"/>
      <c r="F26" s="13"/>
      <c r="G26" s="13"/>
      <c r="H26" s="13"/>
      <c r="I26" s="13"/>
      <c r="J26" s="13"/>
      <c r="K26" s="13"/>
      <c r="L26" s="13"/>
      <c r="M26" s="13"/>
    </row>
    <row r="27" spans="5:13" s="16" customFormat="1" ht="12.75">
      <c r="E27" s="21"/>
      <c r="F27" s="21"/>
      <c r="G27" s="21"/>
      <c r="H27" s="21"/>
      <c r="I27" s="21"/>
      <c r="J27" s="21"/>
      <c r="K27" s="21"/>
      <c r="L27" s="21"/>
      <c r="M27" s="21"/>
    </row>
    <row r="28" spans="1:15" s="16" customFormat="1" ht="15" customHeight="1">
      <c r="A28" s="15" t="s">
        <v>11</v>
      </c>
      <c r="B28" s="15"/>
      <c r="C28" s="15"/>
      <c r="D28" s="15"/>
      <c r="E28" s="15"/>
      <c r="F28" s="15"/>
      <c r="G28" s="15"/>
      <c r="J28" s="15"/>
      <c r="K28" s="667"/>
      <c r="L28" s="667"/>
      <c r="M28" s="667"/>
      <c r="N28" s="667"/>
      <c r="O28" s="86"/>
    </row>
    <row r="29" spans="2:14" s="16" customFormat="1" ht="15" customHeight="1">
      <c r="B29" s="86"/>
      <c r="C29" s="86"/>
      <c r="D29" s="86"/>
      <c r="E29" s="86"/>
      <c r="F29" s="86"/>
      <c r="G29" s="86"/>
      <c r="H29" s="86"/>
      <c r="I29" s="86"/>
      <c r="J29" s="86"/>
      <c r="K29" s="667" t="s">
        <v>819</v>
      </c>
      <c r="L29" s="667"/>
      <c r="M29" s="667"/>
      <c r="N29" s="667"/>
    </row>
    <row r="30" spans="2:14" s="16" customFormat="1" ht="12.75" customHeight="1">
      <c r="B30" s="86"/>
      <c r="C30" s="86"/>
      <c r="D30" s="86"/>
      <c r="E30" s="86"/>
      <c r="F30" s="86"/>
      <c r="G30" s="86"/>
      <c r="H30" s="86"/>
      <c r="I30" s="86"/>
      <c r="J30" s="86"/>
      <c r="K30" s="667" t="s">
        <v>488</v>
      </c>
      <c r="L30" s="667"/>
      <c r="M30" s="667"/>
      <c r="N30" s="667"/>
    </row>
    <row r="31" spans="11:14" s="16" customFormat="1" ht="12.75">
      <c r="K31" s="699" t="s">
        <v>80</v>
      </c>
      <c r="L31" s="699"/>
      <c r="M31" s="699"/>
      <c r="N31" s="699"/>
    </row>
    <row r="32" spans="1:13" ht="12.75">
      <c r="A32" s="746"/>
      <c r="B32" s="746"/>
      <c r="C32" s="746"/>
      <c r="D32" s="746"/>
      <c r="E32" s="746"/>
      <c r="F32" s="746"/>
      <c r="G32" s="746"/>
      <c r="H32" s="746"/>
      <c r="I32" s="746"/>
      <c r="J32" s="746"/>
      <c r="K32" s="746"/>
      <c r="L32" s="746"/>
      <c r="M32" s="746"/>
    </row>
  </sheetData>
  <sheetProtection/>
  <mergeCells count="19">
    <mergeCell ref="K29:N29"/>
    <mergeCell ref="K30:N30"/>
    <mergeCell ref="A32:M32"/>
    <mergeCell ref="H9:L9"/>
    <mergeCell ref="C9:G9"/>
    <mergeCell ref="K31:N31"/>
    <mergeCell ref="N9:N10"/>
    <mergeCell ref="K28:N28"/>
    <mergeCell ref="N12:N19"/>
    <mergeCell ref="A7:B7"/>
    <mergeCell ref="M9:M10"/>
    <mergeCell ref="D1:I1"/>
    <mergeCell ref="A5:M5"/>
    <mergeCell ref="A3:M3"/>
    <mergeCell ref="A2:M2"/>
    <mergeCell ref="B9:B10"/>
    <mergeCell ref="A9:A10"/>
    <mergeCell ref="L1:N1"/>
    <mergeCell ref="L7:N7"/>
  </mergeCells>
  <printOptions horizontalCentered="1"/>
  <pageMargins left="0.48" right="0.13" top="1.01" bottom="0" header="0.76" footer="0.31496062992125984"/>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S32"/>
  <sheetViews>
    <sheetView view="pageBreakPreview" zoomScaleSheetLayoutView="100" zoomScalePageLayoutView="0" workbookViewId="0" topLeftCell="A1">
      <selection activeCell="N11" sqref="N11:N18"/>
    </sheetView>
  </sheetViews>
  <sheetFormatPr defaultColWidth="9.140625" defaultRowHeight="12.75"/>
  <cols>
    <col min="1" max="1" width="6.140625" style="0" customWidth="1"/>
    <col min="2" max="2" width="12.140625" style="0" customWidth="1"/>
    <col min="3" max="3" width="10.8515625" style="0" customWidth="1"/>
    <col min="4" max="13" width="10.140625" style="0" customWidth="1"/>
    <col min="14" max="14" width="11.8515625" style="0" customWidth="1"/>
  </cols>
  <sheetData>
    <row r="1" spans="4:14" ht="12.75" customHeight="1">
      <c r="D1" s="697"/>
      <c r="E1" s="697"/>
      <c r="F1" s="697"/>
      <c r="G1" s="697"/>
      <c r="H1" s="697"/>
      <c r="I1" s="697"/>
      <c r="J1" s="697"/>
      <c r="K1" s="1"/>
      <c r="M1" s="744" t="s">
        <v>85</v>
      </c>
      <c r="N1" s="744"/>
    </row>
    <row r="2" spans="1:14" ht="15">
      <c r="A2" s="751" t="s">
        <v>0</v>
      </c>
      <c r="B2" s="751"/>
      <c r="C2" s="751"/>
      <c r="D2" s="751"/>
      <c r="E2" s="751"/>
      <c r="F2" s="751"/>
      <c r="G2" s="751"/>
      <c r="H2" s="751"/>
      <c r="I2" s="751"/>
      <c r="J2" s="751"/>
      <c r="K2" s="751"/>
      <c r="L2" s="751"/>
      <c r="M2" s="751"/>
      <c r="N2" s="751"/>
    </row>
    <row r="3" spans="1:14" ht="20.25">
      <c r="A3" s="645" t="s">
        <v>854</v>
      </c>
      <c r="B3" s="645"/>
      <c r="C3" s="645"/>
      <c r="D3" s="645"/>
      <c r="E3" s="645"/>
      <c r="F3" s="645"/>
      <c r="G3" s="645"/>
      <c r="H3" s="645"/>
      <c r="I3" s="645"/>
      <c r="J3" s="645"/>
      <c r="K3" s="645"/>
      <c r="L3" s="645"/>
      <c r="M3" s="645"/>
      <c r="N3" s="645"/>
    </row>
    <row r="4" ht="11.25" customHeight="1"/>
    <row r="5" spans="1:14" ht="15.75">
      <c r="A5" s="646" t="s">
        <v>900</v>
      </c>
      <c r="B5" s="646"/>
      <c r="C5" s="646"/>
      <c r="D5" s="646"/>
      <c r="E5" s="646"/>
      <c r="F5" s="646"/>
      <c r="G5" s="646"/>
      <c r="H5" s="646"/>
      <c r="I5" s="646"/>
      <c r="J5" s="646"/>
      <c r="K5" s="646"/>
      <c r="L5" s="646"/>
      <c r="M5" s="646"/>
      <c r="N5" s="646"/>
    </row>
    <row r="7" spans="1:14" ht="12.75">
      <c r="A7" s="699" t="s">
        <v>475</v>
      </c>
      <c r="B7" s="699"/>
      <c r="L7" s="745" t="s">
        <v>856</v>
      </c>
      <c r="M7" s="745"/>
      <c r="N7" s="745"/>
    </row>
    <row r="8" spans="1:14" s="270" customFormat="1" ht="15.75" customHeight="1">
      <c r="A8" s="714" t="s">
        <v>2</v>
      </c>
      <c r="B8" s="714" t="s">
        <v>3</v>
      </c>
      <c r="C8" s="678" t="s">
        <v>4</v>
      </c>
      <c r="D8" s="678"/>
      <c r="E8" s="678"/>
      <c r="F8" s="708"/>
      <c r="G8" s="747"/>
      <c r="H8" s="709" t="s">
        <v>98</v>
      </c>
      <c r="I8" s="709"/>
      <c r="J8" s="709"/>
      <c r="K8" s="709"/>
      <c r="L8" s="709"/>
      <c r="M8" s="714" t="s">
        <v>132</v>
      </c>
      <c r="N8" s="653" t="s">
        <v>133</v>
      </c>
    </row>
    <row r="9" spans="1:19" s="270" customFormat="1" ht="38.25">
      <c r="A9" s="716"/>
      <c r="B9" s="716"/>
      <c r="C9" s="257" t="s">
        <v>677</v>
      </c>
      <c r="D9" s="257" t="s">
        <v>6</v>
      </c>
      <c r="E9" s="257" t="s">
        <v>356</v>
      </c>
      <c r="F9" s="253" t="s">
        <v>96</v>
      </c>
      <c r="G9" s="267" t="s">
        <v>204</v>
      </c>
      <c r="H9" s="257" t="s">
        <v>5</v>
      </c>
      <c r="I9" s="257" t="s">
        <v>6</v>
      </c>
      <c r="J9" s="257" t="s">
        <v>356</v>
      </c>
      <c r="K9" s="253" t="s">
        <v>96</v>
      </c>
      <c r="L9" s="253" t="s">
        <v>203</v>
      </c>
      <c r="M9" s="716"/>
      <c r="N9" s="653"/>
      <c r="R9" s="272"/>
      <c r="S9" s="272"/>
    </row>
    <row r="10" spans="1:14" s="15" customFormat="1" ht="12.75">
      <c r="A10" s="5">
        <v>1</v>
      </c>
      <c r="B10" s="5">
        <v>2</v>
      </c>
      <c r="C10" s="5">
        <v>3</v>
      </c>
      <c r="D10" s="5">
        <v>4</v>
      </c>
      <c r="E10" s="5">
        <v>5</v>
      </c>
      <c r="F10" s="5">
        <v>6</v>
      </c>
      <c r="G10" s="5">
        <v>7</v>
      </c>
      <c r="H10" s="5">
        <v>8</v>
      </c>
      <c r="I10" s="5">
        <v>9</v>
      </c>
      <c r="J10" s="5">
        <v>10</v>
      </c>
      <c r="K10" s="5">
        <v>11</v>
      </c>
      <c r="L10" s="5">
        <v>12</v>
      </c>
      <c r="M10" s="5">
        <v>13</v>
      </c>
      <c r="N10" s="5">
        <v>14</v>
      </c>
    </row>
    <row r="11" spans="1:14" ht="13.5" customHeight="1">
      <c r="A11" s="8">
        <v>1</v>
      </c>
      <c r="B11" s="19" t="s">
        <v>476</v>
      </c>
      <c r="C11" s="9">
        <v>9</v>
      </c>
      <c r="D11" s="9">
        <v>0</v>
      </c>
      <c r="E11" s="9">
        <v>0</v>
      </c>
      <c r="F11" s="9">
        <v>0</v>
      </c>
      <c r="G11" s="9">
        <f>SUM(C11:F11)</f>
        <v>9</v>
      </c>
      <c r="H11" s="9">
        <f>C11</f>
        <v>9</v>
      </c>
      <c r="I11" s="9">
        <f>D11</f>
        <v>0</v>
      </c>
      <c r="J11" s="9">
        <f>E11</f>
        <v>0</v>
      </c>
      <c r="K11" s="9">
        <f>F11</f>
        <v>0</v>
      </c>
      <c r="L11" s="9">
        <f>G11</f>
        <v>9</v>
      </c>
      <c r="M11" s="9">
        <f>G11-L11</f>
        <v>0</v>
      </c>
      <c r="N11" s="748" t="s">
        <v>1030</v>
      </c>
    </row>
    <row r="12" spans="1:14" ht="13.5" customHeight="1">
      <c r="A12" s="8">
        <v>2</v>
      </c>
      <c r="B12" s="19" t="s">
        <v>477</v>
      </c>
      <c r="C12" s="9">
        <v>6</v>
      </c>
      <c r="D12" s="9">
        <v>0</v>
      </c>
      <c r="E12" s="9">
        <v>0</v>
      </c>
      <c r="F12" s="9">
        <v>0</v>
      </c>
      <c r="G12" s="9">
        <f aca="true" t="shared" si="0" ref="G12:G18">SUM(C12:F12)</f>
        <v>6</v>
      </c>
      <c r="H12" s="9">
        <f aca="true" t="shared" si="1" ref="H12:H18">C12</f>
        <v>6</v>
      </c>
      <c r="I12" s="9">
        <f aca="true" t="shared" si="2" ref="I12:I18">D12</f>
        <v>0</v>
      </c>
      <c r="J12" s="9">
        <f aca="true" t="shared" si="3" ref="J12:J18">E12</f>
        <v>0</v>
      </c>
      <c r="K12" s="9">
        <f aca="true" t="shared" si="4" ref="K12:K18">F12</f>
        <v>0</v>
      </c>
      <c r="L12" s="9">
        <f aca="true" t="shared" si="5" ref="L12:L18">G12</f>
        <v>6</v>
      </c>
      <c r="M12" s="9">
        <f aca="true" t="shared" si="6" ref="M12:M18">G12-L12</f>
        <v>0</v>
      </c>
      <c r="N12" s="749"/>
    </row>
    <row r="13" spans="1:14" ht="13.5" customHeight="1">
      <c r="A13" s="8">
        <v>3</v>
      </c>
      <c r="B13" s="19" t="s">
        <v>478</v>
      </c>
      <c r="C13" s="9">
        <v>1</v>
      </c>
      <c r="D13" s="9">
        <v>0</v>
      </c>
      <c r="E13" s="9">
        <v>0</v>
      </c>
      <c r="F13" s="9">
        <v>0</v>
      </c>
      <c r="G13" s="9">
        <f t="shared" si="0"/>
        <v>1</v>
      </c>
      <c r="H13" s="9">
        <f t="shared" si="1"/>
        <v>1</v>
      </c>
      <c r="I13" s="9">
        <f t="shared" si="2"/>
        <v>0</v>
      </c>
      <c r="J13" s="9">
        <f t="shared" si="3"/>
        <v>0</v>
      </c>
      <c r="K13" s="9">
        <f t="shared" si="4"/>
        <v>0</v>
      </c>
      <c r="L13" s="9">
        <f t="shared" si="5"/>
        <v>1</v>
      </c>
      <c r="M13" s="9">
        <f t="shared" si="6"/>
        <v>0</v>
      </c>
      <c r="N13" s="749"/>
    </row>
    <row r="14" spans="1:14" ht="13.5" customHeight="1">
      <c r="A14" s="8">
        <v>4</v>
      </c>
      <c r="B14" s="19" t="s">
        <v>479</v>
      </c>
      <c r="C14" s="9">
        <v>7</v>
      </c>
      <c r="D14" s="9">
        <v>0</v>
      </c>
      <c r="E14" s="9">
        <v>0</v>
      </c>
      <c r="F14" s="9">
        <v>0</v>
      </c>
      <c r="G14" s="9">
        <f t="shared" si="0"/>
        <v>7</v>
      </c>
      <c r="H14" s="9">
        <f t="shared" si="1"/>
        <v>7</v>
      </c>
      <c r="I14" s="9">
        <f t="shared" si="2"/>
        <v>0</v>
      </c>
      <c r="J14" s="9">
        <f t="shared" si="3"/>
        <v>0</v>
      </c>
      <c r="K14" s="9">
        <f t="shared" si="4"/>
        <v>0</v>
      </c>
      <c r="L14" s="9">
        <f t="shared" si="5"/>
        <v>7</v>
      </c>
      <c r="M14" s="9">
        <f t="shared" si="6"/>
        <v>0</v>
      </c>
      <c r="N14" s="749"/>
    </row>
    <row r="15" spans="1:14" ht="13.5" customHeight="1">
      <c r="A15" s="8">
        <v>5</v>
      </c>
      <c r="B15" s="19" t="s">
        <v>480</v>
      </c>
      <c r="C15" s="9">
        <v>8</v>
      </c>
      <c r="D15" s="9">
        <v>0</v>
      </c>
      <c r="E15" s="9">
        <v>0</v>
      </c>
      <c r="F15" s="9">
        <v>0</v>
      </c>
      <c r="G15" s="9">
        <f t="shared" si="0"/>
        <v>8</v>
      </c>
      <c r="H15" s="9">
        <f t="shared" si="1"/>
        <v>8</v>
      </c>
      <c r="I15" s="9">
        <f t="shared" si="2"/>
        <v>0</v>
      </c>
      <c r="J15" s="9">
        <f t="shared" si="3"/>
        <v>0</v>
      </c>
      <c r="K15" s="9">
        <f t="shared" si="4"/>
        <v>0</v>
      </c>
      <c r="L15" s="9">
        <f t="shared" si="5"/>
        <v>8</v>
      </c>
      <c r="M15" s="9">
        <f t="shared" si="6"/>
        <v>0</v>
      </c>
      <c r="N15" s="749"/>
    </row>
    <row r="16" spans="1:14" ht="13.5" customHeight="1">
      <c r="A16" s="8">
        <v>6</v>
      </c>
      <c r="B16" s="19" t="s">
        <v>481</v>
      </c>
      <c r="C16" s="9">
        <v>1</v>
      </c>
      <c r="D16" s="9">
        <v>0</v>
      </c>
      <c r="E16" s="9">
        <v>0</v>
      </c>
      <c r="F16" s="9">
        <v>0</v>
      </c>
      <c r="G16" s="9">
        <f t="shared" si="0"/>
        <v>1</v>
      </c>
      <c r="H16" s="9">
        <f t="shared" si="1"/>
        <v>1</v>
      </c>
      <c r="I16" s="9">
        <f t="shared" si="2"/>
        <v>0</v>
      </c>
      <c r="J16" s="9">
        <f t="shared" si="3"/>
        <v>0</v>
      </c>
      <c r="K16" s="9">
        <f t="shared" si="4"/>
        <v>0</v>
      </c>
      <c r="L16" s="9">
        <f t="shared" si="5"/>
        <v>1</v>
      </c>
      <c r="M16" s="9">
        <f t="shared" si="6"/>
        <v>0</v>
      </c>
      <c r="N16" s="749"/>
    </row>
    <row r="17" spans="1:14" ht="13.5" customHeight="1">
      <c r="A17" s="8">
        <v>7</v>
      </c>
      <c r="B17" s="19" t="s">
        <v>482</v>
      </c>
      <c r="C17" s="9">
        <v>0</v>
      </c>
      <c r="D17" s="9">
        <v>0</v>
      </c>
      <c r="E17" s="9">
        <v>0</v>
      </c>
      <c r="F17" s="9">
        <v>2</v>
      </c>
      <c r="G17" s="9">
        <f t="shared" si="0"/>
        <v>2</v>
      </c>
      <c r="H17" s="9">
        <f t="shared" si="1"/>
        <v>0</v>
      </c>
      <c r="I17" s="9">
        <f t="shared" si="2"/>
        <v>0</v>
      </c>
      <c r="J17" s="9">
        <f t="shared" si="3"/>
        <v>0</v>
      </c>
      <c r="K17" s="9">
        <f t="shared" si="4"/>
        <v>2</v>
      </c>
      <c r="L17" s="9">
        <f t="shared" si="5"/>
        <v>2</v>
      </c>
      <c r="M17" s="9">
        <f t="shared" si="6"/>
        <v>0</v>
      </c>
      <c r="N17" s="749"/>
    </row>
    <row r="18" spans="1:14" ht="13.5" customHeight="1">
      <c r="A18" s="8">
        <v>8</v>
      </c>
      <c r="B18" s="19" t="s">
        <v>483</v>
      </c>
      <c r="C18" s="9">
        <v>6</v>
      </c>
      <c r="D18" s="9">
        <v>0</v>
      </c>
      <c r="E18" s="9">
        <v>0</v>
      </c>
      <c r="F18" s="9">
        <v>0</v>
      </c>
      <c r="G18" s="9">
        <f t="shared" si="0"/>
        <v>6</v>
      </c>
      <c r="H18" s="9">
        <f t="shared" si="1"/>
        <v>6</v>
      </c>
      <c r="I18" s="9">
        <f t="shared" si="2"/>
        <v>0</v>
      </c>
      <c r="J18" s="9">
        <f t="shared" si="3"/>
        <v>0</v>
      </c>
      <c r="K18" s="9">
        <f t="shared" si="4"/>
        <v>0</v>
      </c>
      <c r="L18" s="9">
        <f t="shared" si="5"/>
        <v>6</v>
      </c>
      <c r="M18" s="9">
        <f t="shared" si="6"/>
        <v>0</v>
      </c>
      <c r="N18" s="750"/>
    </row>
    <row r="19" spans="1:16" s="15" customFormat="1" ht="12.75">
      <c r="A19" s="3"/>
      <c r="B19" s="27" t="s">
        <v>484</v>
      </c>
      <c r="C19" s="27">
        <f>SUM(C11:C18)</f>
        <v>38</v>
      </c>
      <c r="D19" s="27">
        <f aca="true" t="shared" si="7" ref="D19:M19">SUM(D11:D18)</f>
        <v>0</v>
      </c>
      <c r="E19" s="27">
        <f>SUM(E11:E18)</f>
        <v>0</v>
      </c>
      <c r="F19" s="27">
        <f t="shared" si="7"/>
        <v>2</v>
      </c>
      <c r="G19" s="27">
        <f t="shared" si="7"/>
        <v>40</v>
      </c>
      <c r="H19" s="27">
        <f t="shared" si="7"/>
        <v>38</v>
      </c>
      <c r="I19" s="27">
        <f t="shared" si="7"/>
        <v>0</v>
      </c>
      <c r="J19" s="27">
        <f t="shared" si="7"/>
        <v>0</v>
      </c>
      <c r="K19" s="27">
        <f t="shared" si="7"/>
        <v>2</v>
      </c>
      <c r="L19" s="27">
        <f t="shared" si="7"/>
        <v>40</v>
      </c>
      <c r="M19" s="27">
        <f t="shared" si="7"/>
        <v>0</v>
      </c>
      <c r="N19" s="27"/>
      <c r="O19"/>
      <c r="P19"/>
    </row>
    <row r="20" spans="1:14" s="15" customFormat="1" ht="12.75">
      <c r="A20" s="230" t="s">
        <v>559</v>
      </c>
      <c r="B20" s="553" t="s">
        <v>821</v>
      </c>
      <c r="C20" s="28"/>
      <c r="D20" s="28"/>
      <c r="E20" s="28"/>
      <c r="F20" s="28"/>
      <c r="G20" s="28"/>
      <c r="H20" s="28"/>
      <c r="I20" s="28"/>
      <c r="J20" s="28"/>
      <c r="K20" s="28"/>
      <c r="L20" s="28"/>
      <c r="M20" s="28"/>
      <c r="N20" s="28"/>
    </row>
    <row r="21" ht="12.75">
      <c r="A21" s="11" t="s">
        <v>7</v>
      </c>
    </row>
    <row r="22" spans="1:14" ht="12.75">
      <c r="A22" t="s">
        <v>8</v>
      </c>
      <c r="N22" t="s">
        <v>10</v>
      </c>
    </row>
    <row r="23" spans="1:14" ht="12.75">
      <c r="A23" t="s">
        <v>9</v>
      </c>
      <c r="H23" s="16" t="s">
        <v>10</v>
      </c>
      <c r="L23" s="12" t="s">
        <v>10</v>
      </c>
      <c r="M23" s="12"/>
      <c r="N23" s="12" t="s">
        <v>10</v>
      </c>
    </row>
    <row r="24" spans="1:12" ht="12.75">
      <c r="A24" s="16" t="s">
        <v>433</v>
      </c>
      <c r="J24" s="12"/>
      <c r="K24" s="12"/>
      <c r="L24" s="12"/>
    </row>
    <row r="25" spans="3:13" ht="12.75">
      <c r="C25" s="16" t="s">
        <v>434</v>
      </c>
      <c r="E25" s="13"/>
      <c r="F25" s="13"/>
      <c r="G25" s="13"/>
      <c r="H25" s="13"/>
      <c r="I25" s="13"/>
      <c r="J25" s="13"/>
      <c r="K25" s="13"/>
      <c r="L25" s="13"/>
      <c r="M25" s="13"/>
    </row>
    <row r="26" spans="5:14" ht="12.75">
      <c r="E26" s="13"/>
      <c r="F26" s="13"/>
      <c r="G26" s="13"/>
      <c r="H26" s="13"/>
      <c r="I26" s="13"/>
      <c r="J26" s="13"/>
      <c r="K26" s="13"/>
      <c r="L26" s="13"/>
      <c r="M26" s="13"/>
      <c r="N26" s="13"/>
    </row>
    <row r="27" spans="5:14" ht="12.75">
      <c r="E27" s="13"/>
      <c r="F27" s="13"/>
      <c r="G27" s="13"/>
      <c r="H27" s="13"/>
      <c r="I27" s="13"/>
      <c r="J27" s="13"/>
      <c r="K27" s="13"/>
      <c r="L27" s="13"/>
      <c r="M27" s="13"/>
      <c r="N27" s="13"/>
    </row>
    <row r="28" spans="1:15" s="16" customFormat="1" ht="15" customHeight="1">
      <c r="A28" s="15" t="s">
        <v>11</v>
      </c>
      <c r="B28" s="15"/>
      <c r="C28" s="15"/>
      <c r="D28" s="15"/>
      <c r="E28" s="15"/>
      <c r="F28" s="15"/>
      <c r="G28" s="15"/>
      <c r="J28" s="15"/>
      <c r="K28" s="667"/>
      <c r="L28" s="667"/>
      <c r="M28" s="667"/>
      <c r="N28" s="667"/>
      <c r="O28" s="86"/>
    </row>
    <row r="29" spans="2:14" s="16" customFormat="1" ht="15" customHeight="1">
      <c r="B29" s="86"/>
      <c r="C29" s="86"/>
      <c r="D29" s="86"/>
      <c r="E29" s="86"/>
      <c r="F29" s="86"/>
      <c r="G29" s="86"/>
      <c r="H29" s="86"/>
      <c r="I29" s="86"/>
      <c r="J29" s="86"/>
      <c r="K29" s="667" t="s">
        <v>819</v>
      </c>
      <c r="L29" s="667"/>
      <c r="M29" s="667"/>
      <c r="N29" s="667"/>
    </row>
    <row r="30" spans="2:14" s="16" customFormat="1" ht="12.75" customHeight="1">
      <c r="B30" s="86"/>
      <c r="C30" s="86"/>
      <c r="D30" s="86"/>
      <c r="E30" s="86"/>
      <c r="F30" s="86"/>
      <c r="G30" s="86"/>
      <c r="H30" s="86"/>
      <c r="I30" s="86"/>
      <c r="J30" s="86"/>
      <c r="K30" s="667" t="s">
        <v>488</v>
      </c>
      <c r="L30" s="667"/>
      <c r="M30" s="667"/>
      <c r="N30" s="667"/>
    </row>
    <row r="31" spans="11:14" s="16" customFormat="1" ht="12.75">
      <c r="K31" s="699" t="s">
        <v>80</v>
      </c>
      <c r="L31" s="699"/>
      <c r="M31" s="699"/>
      <c r="N31" s="699"/>
    </row>
    <row r="32" spans="1:14" ht="12.75">
      <c r="A32" s="746"/>
      <c r="B32" s="746"/>
      <c r="C32" s="746"/>
      <c r="D32" s="746"/>
      <c r="E32" s="746"/>
      <c r="F32" s="746"/>
      <c r="G32" s="746"/>
      <c r="H32" s="746"/>
      <c r="I32" s="746"/>
      <c r="J32" s="746"/>
      <c r="K32" s="746"/>
      <c r="L32" s="746"/>
      <c r="M32" s="746"/>
      <c r="N32" s="746"/>
    </row>
  </sheetData>
  <sheetProtection/>
  <mergeCells count="19">
    <mergeCell ref="A32:N32"/>
    <mergeCell ref="H8:L8"/>
    <mergeCell ref="K30:N30"/>
    <mergeCell ref="K31:N31"/>
    <mergeCell ref="K28:N28"/>
    <mergeCell ref="K29:N29"/>
    <mergeCell ref="B8:B9"/>
    <mergeCell ref="C8:G8"/>
    <mergeCell ref="N11:N18"/>
    <mergeCell ref="D1:J1"/>
    <mergeCell ref="A2:N2"/>
    <mergeCell ref="A3:N3"/>
    <mergeCell ref="M1:N1"/>
    <mergeCell ref="M8:M9"/>
    <mergeCell ref="N8:N9"/>
    <mergeCell ref="A5:N5"/>
    <mergeCell ref="L7:N7"/>
    <mergeCell ref="A7:B7"/>
    <mergeCell ref="A8:A9"/>
  </mergeCells>
  <printOptions horizontalCentered="1"/>
  <pageMargins left="0.58" right="0.19" top="1.08" bottom="0" header="0.45"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2019-05-05T08:00:09Z</cp:lastPrinted>
  <dcterms:created xsi:type="dcterms:W3CDTF">1996-10-14T23:33:28Z</dcterms:created>
  <dcterms:modified xsi:type="dcterms:W3CDTF">2019-06-17T05:41:58Z</dcterms:modified>
  <cp:category/>
  <cp:version/>
  <cp:contentType/>
  <cp:contentStatus/>
</cp:coreProperties>
</file>